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8.xml" ContentType="application/vnd.openxmlformats-officedocument.spreadsheetml.tab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AESII\DGICR\DEIA\SIE\Informe Estadístico\Noviembre 2024\"/>
    </mc:Choice>
  </mc:AlternateContent>
  <xr:revisionPtr revIDLastSave="0" documentId="13_ncr:1_{18336FDF-670C-489C-B74B-C715B25E98B7}" xr6:coauthVersionLast="47" xr6:coauthVersionMax="47" xr10:uidLastSave="{00000000-0000-0000-0000-000000000000}"/>
  <bookViews>
    <workbookView xWindow="-28920" yWindow="-120" windowWidth="29040" windowHeight="15840" firstSheet="19" activeTab="32" xr2:uid="{71BCB2F5-4406-4891-8E63-E815FDEA3433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  <sheet name="Hoja18" sheetId="18" r:id="rId18"/>
    <sheet name="Hoja19" sheetId="19" r:id="rId19"/>
    <sheet name="Hoja20" sheetId="20" r:id="rId20"/>
    <sheet name="Hoja21" sheetId="21" r:id="rId21"/>
    <sheet name="Hoja22" sheetId="22" r:id="rId22"/>
    <sheet name="Hoja23" sheetId="23" r:id="rId23"/>
    <sheet name="Hoja24" sheetId="24" r:id="rId24"/>
    <sheet name="Hoja25" sheetId="25" r:id="rId25"/>
    <sheet name="Hoja26" sheetId="26" r:id="rId26"/>
    <sheet name="Hoja27" sheetId="27" r:id="rId27"/>
    <sheet name="Hoja28" sheetId="28" r:id="rId28"/>
    <sheet name="Hoja29" sheetId="29" r:id="rId29"/>
    <sheet name="Hoja30" sheetId="30" r:id="rId30"/>
    <sheet name="Hoja31" sheetId="31" r:id="rId31"/>
    <sheet name="Hoja32" sheetId="32" r:id="rId32"/>
    <sheet name="Hoja33" sheetId="33" r:id="rId33"/>
    <sheet name="Hoja34" sheetId="34" r:id="rId34"/>
  </sheets>
  <externalReferences>
    <externalReference r:id="rId3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33" l="1"/>
  <c r="S28" i="33"/>
  <c r="Q28" i="33"/>
  <c r="P28" i="33"/>
  <c r="O28" i="33"/>
  <c r="M28" i="33"/>
  <c r="L28" i="33"/>
  <c r="K28" i="33"/>
  <c r="J28" i="33"/>
  <c r="G28" i="33"/>
  <c r="F28" i="33"/>
  <c r="E28" i="33"/>
  <c r="D28" i="33"/>
  <c r="C28" i="33"/>
  <c r="T24" i="33"/>
  <c r="S24" i="33"/>
  <c r="R24" i="33"/>
  <c r="R28" i="33" s="1"/>
  <c r="Q24" i="33"/>
  <c r="P24" i="33"/>
  <c r="O24" i="33"/>
  <c r="N24" i="33"/>
  <c r="N28" i="33" s="1"/>
  <c r="M24" i="33"/>
  <c r="L24" i="33"/>
  <c r="K24" i="33"/>
  <c r="J24" i="33"/>
  <c r="I24" i="33"/>
  <c r="I28" i="33" s="1"/>
  <c r="H24" i="33"/>
  <c r="H28" i="33" s="1"/>
  <c r="G24" i="33"/>
  <c r="F24" i="33"/>
  <c r="E24" i="33"/>
  <c r="D24" i="33"/>
  <c r="C24" i="33"/>
  <c r="U23" i="33"/>
  <c r="U22" i="33"/>
  <c r="U24" i="33" s="1"/>
  <c r="U28" i="33" s="1"/>
  <c r="U21" i="33"/>
  <c r="U20" i="33"/>
  <c r="U19" i="33"/>
  <c r="U18" i="33"/>
  <c r="U17" i="33"/>
  <c r="U16" i="33"/>
  <c r="U15" i="33"/>
  <c r="U14" i="33"/>
  <c r="U13" i="33"/>
  <c r="U12" i="33"/>
  <c r="U11" i="33"/>
  <c r="U10" i="33"/>
  <c r="U9" i="33"/>
  <c r="U8" i="33"/>
  <c r="U7" i="33"/>
  <c r="U6" i="33"/>
  <c r="U5" i="33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6" i="31"/>
  <c r="R5" i="31"/>
  <c r="R4" i="31"/>
  <c r="R31" i="31" s="1"/>
  <c r="D19" i="30"/>
  <c r="E19" i="30" s="1"/>
  <c r="C19" i="30"/>
  <c r="B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26" i="28"/>
  <c r="D26" i="28"/>
  <c r="C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F26" i="28" s="1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Y34" i="26" s="1"/>
  <c r="Y33" i="26"/>
  <c r="Y32" i="26"/>
  <c r="Y31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E26" i="25"/>
  <c r="D26" i="25"/>
  <c r="C26" i="25"/>
  <c r="F26" i="25" s="1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Y32" i="23"/>
  <c r="Y31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33" i="23" s="1"/>
  <c r="E26" i="22"/>
  <c r="D26" i="22"/>
  <c r="C26" i="22"/>
  <c r="F26" i="22" s="1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Y8" i="20"/>
  <c r="Y7" i="20"/>
  <c r="Y6" i="20"/>
  <c r="Y5" i="20"/>
  <c r="Y9" i="20" s="1"/>
  <c r="D25" i="19"/>
  <c r="C25" i="19"/>
  <c r="B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5" i="19" s="1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X5" i="14"/>
  <c r="X4" i="14"/>
  <c r="X33" i="14" s="1"/>
  <c r="D24" i="13"/>
  <c r="C24" i="13"/>
  <c r="B24" i="13"/>
  <c r="E24" i="13" s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X34" i="11" s="1"/>
  <c r="E26" i="10"/>
  <c r="D26" i="10"/>
  <c r="C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26" i="10" s="1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Y13" i="8"/>
  <c r="Y12" i="8"/>
  <c r="Y11" i="8"/>
  <c r="Y10" i="8"/>
  <c r="Y9" i="8"/>
  <c r="Y8" i="8"/>
  <c r="Y7" i="8"/>
  <c r="Y6" i="8"/>
  <c r="Y5" i="8"/>
  <c r="Y14" i="8" s="1"/>
  <c r="Y7" i="6"/>
  <c r="Y6" i="6"/>
  <c r="Y5" i="6"/>
  <c r="H26" i="5"/>
  <c r="I26" i="5" s="1"/>
  <c r="F26" i="5"/>
  <c r="G26" i="5" s="1"/>
  <c r="D26" i="5"/>
  <c r="E26" i="5" s="1"/>
  <c r="C26" i="5"/>
  <c r="I25" i="5"/>
  <c r="G25" i="5"/>
  <c r="E25" i="5"/>
  <c r="I24" i="5"/>
  <c r="G24" i="5"/>
  <c r="E24" i="5"/>
  <c r="I23" i="5"/>
  <c r="G23" i="5"/>
  <c r="E23" i="5"/>
  <c r="I22" i="5"/>
  <c r="G22" i="5"/>
  <c r="E22" i="5"/>
  <c r="I21" i="5"/>
  <c r="G21" i="5"/>
  <c r="E21" i="5"/>
  <c r="I20" i="5"/>
  <c r="G20" i="5"/>
  <c r="E20" i="5"/>
  <c r="I19" i="5"/>
  <c r="G19" i="5"/>
  <c r="E19" i="5"/>
  <c r="I18" i="5"/>
  <c r="G18" i="5"/>
  <c r="E18" i="5"/>
  <c r="I17" i="5"/>
  <c r="G17" i="5"/>
  <c r="E17" i="5"/>
  <c r="I16" i="5"/>
  <c r="G16" i="5"/>
  <c r="E16" i="5"/>
  <c r="I15" i="5"/>
  <c r="G15" i="5"/>
  <c r="E15" i="5"/>
  <c r="I14" i="5"/>
  <c r="G14" i="5"/>
  <c r="E14" i="5"/>
  <c r="I13" i="5"/>
  <c r="G13" i="5"/>
  <c r="E13" i="5"/>
  <c r="I12" i="5"/>
  <c r="G12" i="5"/>
  <c r="E12" i="5"/>
  <c r="I11" i="5"/>
  <c r="G11" i="5"/>
  <c r="E11" i="5"/>
  <c r="I10" i="5"/>
  <c r="G10" i="5"/>
  <c r="E10" i="5"/>
  <c r="I9" i="5"/>
  <c r="G9" i="5"/>
  <c r="E9" i="5"/>
  <c r="I8" i="5"/>
  <c r="G8" i="5"/>
  <c r="E8" i="5"/>
  <c r="I7" i="5"/>
  <c r="G7" i="5"/>
  <c r="E7" i="5"/>
  <c r="I6" i="5"/>
  <c r="G6" i="5"/>
  <c r="E6" i="5"/>
  <c r="I5" i="5"/>
  <c r="G5" i="5"/>
  <c r="E5" i="5"/>
  <c r="I4" i="5"/>
  <c r="G4" i="5"/>
  <c r="E4" i="5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36" i="4" s="1"/>
  <c r="D34" i="3"/>
  <c r="C34" i="3"/>
</calcChain>
</file>

<file path=xl/sharedStrings.xml><?xml version="1.0" encoding="utf-8"?>
<sst xmlns="http://schemas.openxmlformats.org/spreadsheetml/2006/main" count="1918" uniqueCount="87">
  <si>
    <t>SECTOR</t>
  </si>
  <si>
    <t>AUDITORÍAS</t>
  </si>
  <si>
    <t>PORCENTAJE</t>
  </si>
  <si>
    <t>PORCENTAJE ACUMULADO</t>
  </si>
  <si>
    <t>ENTIDADES FEDERATIVAS Y MUNICIPIOS</t>
  </si>
  <si>
    <t>HACIENDA Y CRÉDITO PÚBLICO</t>
  </si>
  <si>
    <t>EMPRESAS PRODUCTIVAS DEL ESTADO</t>
  </si>
  <si>
    <t>INFRAESTRUCTURA, COMUNICACIONES Y TRANSPORTES</t>
  </si>
  <si>
    <t>INSTITUCIONES PÚBLICAS DE EDUCACIÓN SUPERIOR</t>
  </si>
  <si>
    <t>EDUCACIÓN PÚBLICA</t>
  </si>
  <si>
    <t>ÓRGANOS DESCENTRALIZADOS NO SECTORIZADOS</t>
  </si>
  <si>
    <t>SALUD</t>
  </si>
  <si>
    <t>MEDIO AMBIENTE Y RECURSOS NATURALES</t>
  </si>
  <si>
    <t>AGRICULTURA Y DESARROLLO RURAL</t>
  </si>
  <si>
    <t>MARINA</t>
  </si>
  <si>
    <t>BIENESTAR</t>
  </si>
  <si>
    <t>ENERGÍA</t>
  </si>
  <si>
    <t>ÓRGANOS AUTÓNOMOS</t>
  </si>
  <si>
    <t>ECONOMÍA</t>
  </si>
  <si>
    <t>SEGURIDAD Y PROTECCIÓN CIUDADANA</t>
  </si>
  <si>
    <t>GOBERNACIÓN</t>
  </si>
  <si>
    <t>DESARROLLO AGRARIO, TERRITORIAL Y URBANO</t>
  </si>
  <si>
    <t>TURISMO</t>
  </si>
  <si>
    <t>DEFENSA NACIONAL</t>
  </si>
  <si>
    <t>CULTURA</t>
  </si>
  <si>
    <t>CONSEJO NACIONAL DE HUMANIDADES, CIENCIAS Y TECNOLOGÍAS</t>
  </si>
  <si>
    <t>PODER JUDICIAL</t>
  </si>
  <si>
    <t>FUNCIÓN PÚBLICA</t>
  </si>
  <si>
    <t>TRABAJO Y PREVISIÓN SOCIAL</t>
  </si>
  <si>
    <t>RELACIONES EXTERIORES</t>
  </si>
  <si>
    <t>FISCALÍA GENERAL DE LA REPÚBLICA</t>
  </si>
  <si>
    <t>PODER LEGISLATIVO</t>
  </si>
  <si>
    <t>PRESIDENCIA DE LA REPÚBLICA</t>
  </si>
  <si>
    <t>ENTIDADES NO CORDINADAS SECTORIALMENTE</t>
  </si>
  <si>
    <t>ENTIDADES NO SECTORIZADAS</t>
  </si>
  <si>
    <t>Total</t>
  </si>
  <si>
    <t>CUENTA PÚBLICA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</si>
  <si>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</si>
  <si>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</si>
  <si>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</si>
  <si>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</si>
  <si>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</si>
  <si>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</si>
  <si>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</si>
  <si>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</si>
  <si>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</si>
  <si>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</si>
  <si>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</si>
  <si>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</si>
  <si>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</si>
  <si>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</si>
  <si>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</si>
  <si>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</si>
  <si>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</si>
  <si>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</si>
  <si>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</si>
  <si>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</si>
  <si>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</si>
  <si>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</si>
  <si>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-</t>
  </si>
  <si>
    <t>ENTIDADES NO COORDINADAS SECTORIALMENTE</t>
  </si>
  <si>
    <t>Cuenta Pública</t>
  </si>
  <si>
    <t>Auditorías</t>
  </si>
  <si>
    <t>Observaciones</t>
  </si>
  <si>
    <t>Observaciones por Auditoría</t>
  </si>
  <si>
    <t>Recomendaciones</t>
  </si>
  <si>
    <t>Recomendaciones por Auditoría</t>
  </si>
  <si>
    <t>Acciones</t>
  </si>
  <si>
    <t>Acciones 
por Auditorías</t>
  </si>
  <si>
    <t>TIPO DE ACCIÓN</t>
  </si>
  <si>
    <t>R</t>
  </si>
  <si>
    <t>PRAS</t>
  </si>
  <si>
    <t>PO</t>
  </si>
  <si>
    <t>RD</t>
  </si>
  <si>
    <t>SA</t>
  </si>
  <si>
    <t>FRR</t>
  </si>
  <si>
    <t>PEFCF</t>
  </si>
  <si>
    <t>DH</t>
  </si>
  <si>
    <t>PIIC</t>
  </si>
  <si>
    <t>En proceso 
de Notificación</t>
  </si>
  <si>
    <t>En Seguimiento</t>
  </si>
  <si>
    <t>Concluidas</t>
  </si>
  <si>
    <t xml:space="preserve"> </t>
  </si>
  <si>
    <t>CONSEJO NACIONAL DE CIENCIA Y TECNOLOGÍA</t>
  </si>
  <si>
    <t>Sector</t>
  </si>
  <si>
    <t>Subtotal</t>
  </si>
  <si>
    <t>SIMULACIÓN DE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</si>
</sst>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9"/>
      <name val="Arial"/>
      <family val="2"/>
    </font>
    <font>
      <b/>
      <sz val="9"/>
      <color rgb="FF9C5700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rgb="FF9C5700"/>
      <name val="Aptos Narrow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1">
    <xf numFmtId="0" fontId="0" fillId="0" borderId="0" xfId="0"/>
    <xf numFmtId="3" fontId="2" fillId="2" borderId="1" xfId="1" applyNumberFormat="1" applyFont="1" applyBorder="1" applyAlignment="1">
      <alignment horizontal="right" vertical="center" wrapText="1" indent="3"/>
    </xf>
    <xf numFmtId="10" fontId="2" fillId="2" borderId="1" xfId="1" applyNumberFormat="1" applyFont="1" applyBorder="1" applyAlignment="1">
      <alignment horizontal="right" vertical="center" wrapText="1" indent="2"/>
    </xf>
    <xf numFmtId="0" fontId="2" fillId="2" borderId="2" xfId="1" applyFont="1" applyBorder="1" applyAlignment="1">
      <alignment horizontal="left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 indent="3"/>
    </xf>
    <xf numFmtId="10" fontId="3" fillId="0" borderId="1" xfId="0" applyNumberFormat="1" applyFont="1" applyBorder="1" applyAlignment="1">
      <alignment horizontal="right" vertical="center" wrapText="1" indent="2"/>
    </xf>
    <xf numFmtId="10" fontId="3" fillId="0" borderId="6" xfId="0" applyNumberFormat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10" fontId="2" fillId="2" borderId="6" xfId="1" applyNumberFormat="1" applyFont="1" applyBorder="1" applyAlignment="1">
      <alignment horizontal="center" vertical="center" wrapText="1"/>
    </xf>
    <xf numFmtId="0" fontId="2" fillId="2" borderId="1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center" vertical="center"/>
    </xf>
    <xf numFmtId="0" fontId="4" fillId="2" borderId="11" xfId="1" applyFont="1" applyBorder="1" applyAlignment="1">
      <alignment horizontal="center"/>
    </xf>
    <xf numFmtId="0" fontId="4" fillId="2" borderId="12" xfId="1" applyFont="1" applyBorder="1" applyAlignment="1">
      <alignment horizontal="center"/>
    </xf>
    <xf numFmtId="0" fontId="4" fillId="2" borderId="13" xfId="1" applyFont="1" applyBorder="1" applyAlignment="1">
      <alignment horizontal="center"/>
    </xf>
    <xf numFmtId="0" fontId="4" fillId="2" borderId="14" xfId="1" applyFont="1" applyBorder="1" applyAlignment="1">
      <alignment horizontal="center" vertical="center"/>
    </xf>
    <xf numFmtId="0" fontId="4" fillId="2" borderId="15" xfId="1" applyFont="1" applyBorder="1" applyAlignment="1">
      <alignment horizontal="center" vertical="center"/>
    </xf>
    <xf numFmtId="0" fontId="4" fillId="2" borderId="16" xfId="1" applyFont="1" applyBorder="1" applyAlignment="1">
      <alignment horizontal="center"/>
    </xf>
    <xf numFmtId="0" fontId="4" fillId="2" borderId="0" xfId="1" applyFont="1" applyBorder="1" applyAlignment="1">
      <alignment horizontal="center"/>
    </xf>
    <xf numFmtId="0" fontId="4" fillId="2" borderId="17" xfId="1" applyFont="1" applyBorder="1" applyAlignment="1">
      <alignment horizontal="center"/>
    </xf>
    <xf numFmtId="0" fontId="4" fillId="2" borderId="18" xfId="1" applyFont="1" applyBorder="1" applyAlignment="1">
      <alignment horizontal="center" vertical="center"/>
    </xf>
    <xf numFmtId="0" fontId="4" fillId="2" borderId="15" xfId="1" applyFont="1" applyBorder="1"/>
    <xf numFmtId="3" fontId="5" fillId="0" borderId="0" xfId="0" applyNumberFormat="1" applyFont="1" applyAlignment="1">
      <alignment vertical="center"/>
    </xf>
    <xf numFmtId="3" fontId="4" fillId="2" borderId="19" xfId="1" applyNumberFormat="1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2" borderId="20" xfId="1" applyFont="1" applyBorder="1"/>
    <xf numFmtId="0" fontId="4" fillId="2" borderId="21" xfId="1" applyFont="1" applyBorder="1"/>
    <xf numFmtId="3" fontId="4" fillId="2" borderId="22" xfId="1" applyNumberFormat="1" applyFont="1" applyBorder="1" applyAlignment="1">
      <alignment vertical="center"/>
    </xf>
    <xf numFmtId="3" fontId="4" fillId="2" borderId="23" xfId="1" applyNumberFormat="1" applyFont="1" applyBorder="1" applyAlignment="1">
      <alignment vertical="center"/>
    </xf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5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 indent="2"/>
    </xf>
    <xf numFmtId="3" fontId="5" fillId="0" borderId="1" xfId="0" applyNumberFormat="1" applyFont="1" applyBorder="1" applyAlignment="1">
      <alignment horizontal="right" vertical="center" wrapText="1" indent="3"/>
    </xf>
    <xf numFmtId="3" fontId="6" fillId="0" borderId="5" xfId="0" applyNumberFormat="1" applyFont="1" applyBorder="1" applyAlignment="1">
      <alignment horizontal="right" vertical="center" wrapText="1" indent="3"/>
    </xf>
    <xf numFmtId="3" fontId="5" fillId="0" borderId="1" xfId="0" applyNumberFormat="1" applyFont="1" applyBorder="1" applyAlignment="1">
      <alignment horizontal="right" vertical="center" wrapText="1" indent="4"/>
    </xf>
    <xf numFmtId="3" fontId="6" fillId="0" borderId="5" xfId="0" applyNumberFormat="1" applyFont="1" applyBorder="1" applyAlignment="1">
      <alignment horizontal="right" vertical="center" wrapText="1" indent="1"/>
    </xf>
    <xf numFmtId="3" fontId="5" fillId="0" borderId="6" xfId="0" applyNumberFormat="1" applyFont="1" applyBorder="1" applyAlignment="1">
      <alignment horizontal="right" vertical="center" wrapText="1" indent="3"/>
    </xf>
    <xf numFmtId="3" fontId="6" fillId="0" borderId="1" xfId="0" applyNumberFormat="1" applyFont="1" applyBorder="1" applyAlignment="1">
      <alignment horizontal="right" vertical="center" wrapText="1" indent="3"/>
    </xf>
    <xf numFmtId="3" fontId="6" fillId="0" borderId="1" xfId="0" applyNumberFormat="1" applyFont="1" applyBorder="1" applyAlignment="1">
      <alignment horizontal="right" vertical="center" wrapText="1" indent="1"/>
    </xf>
    <xf numFmtId="3" fontId="6" fillId="0" borderId="6" xfId="0" applyNumberFormat="1" applyFont="1" applyBorder="1" applyAlignment="1">
      <alignment horizontal="right" vertical="center" wrapText="1" indent="3"/>
    </xf>
    <xf numFmtId="3" fontId="6" fillId="0" borderId="6" xfId="0" applyNumberFormat="1" applyFont="1" applyBorder="1" applyAlignment="1">
      <alignment horizontal="right" vertical="center" wrapText="1" indent="1"/>
    </xf>
    <xf numFmtId="3" fontId="5" fillId="0" borderId="5" xfId="0" applyNumberFormat="1" applyFont="1" applyBorder="1" applyAlignment="1">
      <alignment horizontal="right" vertical="center" wrapText="1" indent="2"/>
    </xf>
    <xf numFmtId="3" fontId="2" fillId="2" borderId="9" xfId="1" applyNumberFormat="1" applyFont="1" applyBorder="1" applyAlignment="1">
      <alignment horizontal="center" vertical="center" wrapText="1"/>
    </xf>
    <xf numFmtId="3" fontId="2" fillId="2" borderId="24" xfId="1" applyNumberFormat="1" applyFont="1" applyBorder="1" applyAlignment="1">
      <alignment horizontal="right" vertical="center" wrapText="1" indent="2"/>
    </xf>
    <xf numFmtId="3" fontId="2" fillId="2" borderId="24" xfId="1" applyNumberFormat="1" applyFont="1" applyBorder="1" applyAlignment="1">
      <alignment horizontal="right" vertical="center" wrapText="1" indent="3"/>
    </xf>
    <xf numFmtId="3" fontId="2" fillId="2" borderId="24" xfId="1" applyNumberFormat="1" applyFont="1" applyBorder="1" applyAlignment="1">
      <alignment horizontal="right" vertical="center" wrapText="1" indent="4"/>
    </xf>
    <xf numFmtId="3" fontId="2" fillId="2" borderId="24" xfId="1" applyNumberFormat="1" applyFont="1" applyBorder="1" applyAlignment="1">
      <alignment horizontal="right" vertical="center" wrapText="1" indent="1"/>
    </xf>
    <xf numFmtId="3" fontId="2" fillId="2" borderId="7" xfId="1" applyNumberFormat="1" applyFont="1" applyBorder="1" applyAlignment="1">
      <alignment horizontal="right" vertical="center" wrapText="1" indent="3"/>
    </xf>
    <xf numFmtId="0" fontId="2" fillId="2" borderId="1" xfId="1" applyFont="1" applyBorder="1" applyAlignment="1">
      <alignment horizontal="center" vertical="center"/>
    </xf>
    <xf numFmtId="0" fontId="2" fillId="2" borderId="7" xfId="1" applyFont="1" applyBorder="1" applyAlignment="1">
      <alignment horizontal="center"/>
    </xf>
    <xf numFmtId="0" fontId="2" fillId="2" borderId="8" xfId="1" applyFont="1" applyBorder="1" applyAlignment="1">
      <alignment horizontal="center"/>
    </xf>
    <xf numFmtId="0" fontId="2" fillId="2" borderId="8" xfId="1" applyFont="1" applyBorder="1" applyAlignment="1">
      <alignment horizontal="center" vertical="center" wrapText="1"/>
    </xf>
    <xf numFmtId="0" fontId="2" fillId="2" borderId="25" xfId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2" fillId="2" borderId="5" xfId="1" applyNumberFormat="1" applyFont="1" applyBorder="1" applyAlignment="1">
      <alignment horizontal="right" vertical="center" wrapText="1"/>
    </xf>
    <xf numFmtId="0" fontId="7" fillId="2" borderId="26" xfId="1" applyFont="1" applyBorder="1" applyAlignment="1">
      <alignment horizontal="center" vertical="center"/>
    </xf>
    <xf numFmtId="0" fontId="7" fillId="2" borderId="27" xfId="1" applyFont="1" applyBorder="1" applyAlignment="1">
      <alignment horizontal="center"/>
    </xf>
    <xf numFmtId="0" fontId="7" fillId="2" borderId="28" xfId="1" applyFont="1" applyBorder="1" applyAlignment="1">
      <alignment horizontal="center"/>
    </xf>
    <xf numFmtId="0" fontId="7" fillId="2" borderId="29" xfId="1" applyFont="1" applyBorder="1" applyAlignment="1">
      <alignment horizontal="center"/>
    </xf>
    <xf numFmtId="0" fontId="7" fillId="2" borderId="26" xfId="1" applyFont="1" applyBorder="1" applyAlignment="1">
      <alignment horizontal="center" vertical="center" wrapText="1"/>
    </xf>
    <xf numFmtId="0" fontId="7" fillId="2" borderId="26" xfId="1" applyFont="1" applyBorder="1" applyAlignment="1">
      <alignment horizontal="center" vertical="center" wrapText="1"/>
    </xf>
    <xf numFmtId="0" fontId="7" fillId="2" borderId="30" xfId="1" applyFont="1" applyBorder="1" applyAlignment="1">
      <alignment horizontal="center" vertical="center" wrapText="1"/>
    </xf>
    <xf numFmtId="0" fontId="7" fillId="2" borderId="26" xfId="1" applyFont="1" applyBorder="1" applyAlignment="1">
      <alignment horizontal="left" vertical="center" wrapText="1"/>
    </xf>
    <xf numFmtId="3" fontId="8" fillId="0" borderId="26" xfId="0" applyNumberFormat="1" applyFont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3" fontId="7" fillId="2" borderId="26" xfId="1" applyNumberFormat="1" applyFont="1" applyBorder="1" applyAlignment="1">
      <alignment horizontal="right" vertical="center" wrapText="1"/>
    </xf>
    <xf numFmtId="3" fontId="8" fillId="3" borderId="26" xfId="0" applyNumberFormat="1" applyFont="1" applyFill="1" applyBorder="1" applyAlignment="1">
      <alignment horizontal="lef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3" fontId="8" fillId="0" borderId="29" xfId="0" applyNumberFormat="1" applyFont="1" applyBorder="1" applyAlignment="1">
      <alignment horizontal="right" vertical="center" wrapText="1"/>
    </xf>
    <xf numFmtId="3" fontId="8" fillId="0" borderId="26" xfId="0" applyNumberFormat="1" applyFont="1" applyBorder="1" applyAlignment="1">
      <alignment horizontal="lef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 indent="1"/>
    </xf>
    <xf numFmtId="3" fontId="2" fillId="2" borderId="6" xfId="1" applyNumberFormat="1" applyFont="1" applyBorder="1" applyAlignment="1">
      <alignment horizontal="right" vertical="center" wrapText="1" indent="1"/>
    </xf>
    <xf numFmtId="0" fontId="2" fillId="2" borderId="9" xfId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right" vertical="center" wrapText="1" indent="1"/>
    </xf>
    <xf numFmtId="0" fontId="2" fillId="2" borderId="26" xfId="1" applyFont="1" applyBorder="1" applyAlignment="1">
      <alignment horizontal="center" vertical="center"/>
    </xf>
    <xf numFmtId="0" fontId="2" fillId="2" borderId="27" xfId="1" applyFont="1" applyBorder="1" applyAlignment="1">
      <alignment horizontal="center"/>
    </xf>
    <xf numFmtId="0" fontId="2" fillId="2" borderId="28" xfId="1" applyFont="1" applyBorder="1" applyAlignment="1">
      <alignment horizontal="center"/>
    </xf>
    <xf numFmtId="0" fontId="2" fillId="2" borderId="29" xfId="1" applyFont="1" applyBorder="1" applyAlignment="1">
      <alignment horizontal="center"/>
    </xf>
    <xf numFmtId="0" fontId="2" fillId="2" borderId="26" xfId="1" applyFont="1" applyBorder="1" applyAlignment="1">
      <alignment horizontal="center" vertical="center" wrapText="1"/>
    </xf>
    <xf numFmtId="0" fontId="2" fillId="2" borderId="32" xfId="1" applyFont="1" applyBorder="1" applyAlignment="1">
      <alignment horizontal="center" vertical="center" wrapText="1"/>
    </xf>
    <xf numFmtId="0" fontId="2" fillId="2" borderId="31" xfId="1" applyFont="1" applyBorder="1" applyAlignment="1">
      <alignment horizontal="center" vertical="center" wrapText="1"/>
    </xf>
    <xf numFmtId="0" fontId="2" fillId="2" borderId="33" xfId="1" applyFont="1" applyBorder="1" applyAlignment="1">
      <alignment horizontal="center" vertical="center" wrapText="1"/>
    </xf>
    <xf numFmtId="0" fontId="2" fillId="2" borderId="26" xfId="1" applyFont="1" applyBorder="1" applyAlignment="1">
      <alignment horizontal="left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2" fillId="2" borderId="26" xfId="1" applyNumberFormat="1" applyFont="1" applyBorder="1" applyAlignment="1">
      <alignment horizontal="right" vertical="center" wrapText="1"/>
    </xf>
    <xf numFmtId="3" fontId="2" fillId="2" borderId="34" xfId="1" applyNumberFormat="1" applyFont="1" applyBorder="1" applyAlignment="1">
      <alignment horizontal="center" vertical="center" wrapText="1"/>
    </xf>
    <xf numFmtId="0" fontId="2" fillId="2" borderId="26" xfId="1" applyFont="1" applyBorder="1" applyAlignment="1">
      <alignment horizontal="center" vertical="center" wrapText="1"/>
    </xf>
    <xf numFmtId="3" fontId="2" fillId="2" borderId="6" xfId="1" applyNumberFormat="1" applyFont="1" applyBorder="1" applyAlignment="1">
      <alignment horizontal="right" vertical="center" wrapText="1" indent="2"/>
    </xf>
    <xf numFmtId="3" fontId="5" fillId="0" borderId="6" xfId="0" applyNumberFormat="1" applyFont="1" applyBorder="1" applyAlignment="1">
      <alignment horizontal="right" vertical="center" wrapText="1" indent="2"/>
    </xf>
    <xf numFmtId="0" fontId="2" fillId="2" borderId="27" xfId="1" applyFont="1" applyBorder="1" applyAlignment="1">
      <alignment horizontal="center" vertical="center"/>
    </xf>
    <xf numFmtId="0" fontId="2" fillId="2" borderId="28" xfId="1" applyFont="1" applyBorder="1" applyAlignment="1">
      <alignment horizontal="center" vertical="center"/>
    </xf>
    <xf numFmtId="0" fontId="2" fillId="2" borderId="29" xfId="1" applyFont="1" applyBorder="1" applyAlignment="1">
      <alignment horizontal="center" vertical="center"/>
    </xf>
    <xf numFmtId="0" fontId="2" fillId="2" borderId="30" xfId="1" applyFont="1" applyBorder="1" applyAlignment="1">
      <alignment horizontal="center" vertical="center" wrapText="1"/>
    </xf>
    <xf numFmtId="3" fontId="2" fillId="2" borderId="26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2" fillId="2" borderId="2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right" vertical="center" wrapText="1" indent="2"/>
    </xf>
    <xf numFmtId="0" fontId="1" fillId="2" borderId="26" xfId="1" applyBorder="1" applyAlignment="1">
      <alignment horizontal="center"/>
    </xf>
    <xf numFmtId="0" fontId="1" fillId="2" borderId="26" xfId="1" applyBorder="1" applyAlignment="1">
      <alignment horizontal="center" vertical="center" wrapText="1"/>
    </xf>
    <xf numFmtId="0" fontId="2" fillId="2" borderId="26" xfId="1" applyFont="1" applyBorder="1" applyAlignment="1">
      <alignment horizontal="center"/>
    </xf>
    <xf numFmtId="0" fontId="2" fillId="2" borderId="26" xfId="1" applyFont="1" applyBorder="1" applyAlignment="1">
      <alignment horizontal="center"/>
    </xf>
    <xf numFmtId="3" fontId="5" fillId="0" borderId="35" xfId="0" applyNumberFormat="1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0" fontId="2" fillId="2" borderId="36" xfId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 indent="3"/>
    </xf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3" fontId="10" fillId="5" borderId="44" xfId="0" applyNumberFormat="1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3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border outline="0">
        <top style="thin">
          <color theme="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ill>
        <patternFill patternType="none">
          <fgColor indexed="64"/>
          <bgColor auto="1"/>
        </patternFill>
      </fill>
      <border outline="0">
        <right style="thin">
          <color rgb="FFC0C0C0"/>
        </right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4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53651485091528"/>
          <c:y val="0.1449192058324226"/>
          <c:w val="0.40066586104294749"/>
          <c:h val="0.61147390172036709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91-4F1F-B098-FC671F91D7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91-4F1F-B098-FC671F91D7E3}"/>
              </c:ext>
            </c:extLst>
          </c:dPt>
          <c:dPt>
            <c:idx val="2"/>
            <c:bubble3D val="0"/>
            <c:spPr>
              <a:solidFill>
                <a:srgbClr val="F719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91-4F1F-B098-FC671F91D7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91-4F1F-B098-FC671F91D7E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91-4F1F-B098-FC671F91D7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91-4F1F-B098-FC671F91D7E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6.94%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F91-4F1F-B098-FC671F91D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[1]Auditorías!$D$3:$D$8</c:f>
              <c:strCache>
                <c:ptCount val="6"/>
                <c:pt idx="0">
                  <c:v>Financiera y de Cumplimiento</c:v>
                </c:pt>
                <c:pt idx="1">
                  <c:v>Financiera con Enfoque de Desempeño</c:v>
                </c:pt>
                <c:pt idx="2">
                  <c:v>Cumplimiento a Inversiones Físicas</c:v>
                </c:pt>
                <c:pt idx="3">
                  <c:v>Desempeño</c:v>
                </c:pt>
                <c:pt idx="4">
                  <c:v>Otras</c:v>
                </c:pt>
                <c:pt idx="5">
                  <c:v>De Cumplimiento Forense</c:v>
                </c:pt>
              </c:strCache>
            </c:strRef>
          </c:cat>
          <c:val>
            <c:numRef>
              <c:f>[1]Auditorías!$E$3:$E$8</c:f>
              <c:numCache>
                <c:formatCode>#.00%</c:formatCode>
                <c:ptCount val="6"/>
                <c:pt idx="0">
                  <c:v>0.58250655719010147</c:v>
                </c:pt>
                <c:pt idx="1">
                  <c:v>0.15760063861329685</c:v>
                </c:pt>
                <c:pt idx="2">
                  <c:v>9.5145778690082491E-2</c:v>
                </c:pt>
                <c:pt idx="3">
                  <c:v>8.8037404493100699E-2</c:v>
                </c:pt>
                <c:pt idx="4">
                  <c:v>6.9400000000000003E-2</c:v>
                </c:pt>
                <c:pt idx="5">
                  <c:v>7.2604249819439694E-3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91-4F1F-B098-FC671F91D7E3}"/>
            </c:ext>
          </c:extLst>
        </c:ser>
        <c:ser>
          <c:idx val="0"/>
          <c:order val="1"/>
          <c:tx>
            <c:strRef>
              <c:f>[1]Auditorías!$E$2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F91-4F1F-B098-FC671F91D7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F91-4F1F-B098-FC671F91D7E3}"/>
              </c:ext>
            </c:extLst>
          </c:dPt>
          <c:dPt>
            <c:idx val="2"/>
            <c:bubble3D val="0"/>
            <c:spPr>
              <a:solidFill>
                <a:srgbClr val="F51BF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91-4F1F-B098-FC671F91D7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91-4F1F-B098-FC671F91D7E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91-4F1F-B098-FC671F91D7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F91-4F1F-B098-FC671F91D7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58.58%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F91-4F1F-B098-FC671F91D7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15.62%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F91-4F1F-B098-FC671F91D7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9.52%%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6F91-4F1F-B098-FC671F91D7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8.79%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F91-4F1F-B098-FC671F91D7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6.80%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F91-4F1F-B098-FC671F91D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[1]Auditorías!$D$3:$D$8</c:f>
              <c:strCache>
                <c:ptCount val="6"/>
                <c:pt idx="0">
                  <c:v>Financiera y de Cumplimiento</c:v>
                </c:pt>
                <c:pt idx="1">
                  <c:v>Financiera con Enfoque de Desempeño</c:v>
                </c:pt>
                <c:pt idx="2">
                  <c:v>Cumplimiento a Inversiones Físicas</c:v>
                </c:pt>
                <c:pt idx="3">
                  <c:v>Desempeño</c:v>
                </c:pt>
                <c:pt idx="4">
                  <c:v>Otras</c:v>
                </c:pt>
                <c:pt idx="5">
                  <c:v>De Cumplimiento Forense</c:v>
                </c:pt>
              </c:strCache>
            </c:strRef>
          </c:cat>
          <c:val>
            <c:numRef>
              <c:f>[1]Auditorías!$E$3:$E$8</c:f>
              <c:numCache>
                <c:formatCode>#.00%</c:formatCode>
                <c:ptCount val="6"/>
                <c:pt idx="0">
                  <c:v>0.58250655719010147</c:v>
                </c:pt>
                <c:pt idx="1">
                  <c:v>0.15760063861329685</c:v>
                </c:pt>
                <c:pt idx="2">
                  <c:v>9.5145778690082491E-2</c:v>
                </c:pt>
                <c:pt idx="3">
                  <c:v>8.8037404493100699E-2</c:v>
                </c:pt>
                <c:pt idx="4">
                  <c:v>6.9400000000000003E-2</c:v>
                </c:pt>
                <c:pt idx="5">
                  <c:v>7.2604249819439694E-3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F91-4F1F-B098-FC671F91D7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57000">
          <a:schemeClr val="accent2">
            <a:lumMod val="5000"/>
            <a:lumOff val="95000"/>
          </a:schemeClr>
        </a:gs>
        <a:gs pos="100000">
          <a:schemeClr val="accent2">
            <a:lumMod val="45000"/>
            <a:lumOff val="55000"/>
          </a:schemeClr>
        </a:gs>
        <a:gs pos="91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[1]FRR!$B$1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2F-4BCF-900D-D1BCE14047C0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2F-4BCF-900D-D1BCE14047C0}"/>
                </c:ext>
              </c:extLst>
            </c:dLbl>
            <c:dLbl>
              <c:idx val="14"/>
              <c:layout>
                <c:manualLayout>
                  <c:x val="0"/>
                  <c:y val="-4.68800585973263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2F-4BCF-900D-D1BCE14047C0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[1]FRR!$B$2:$B$16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[1]FRR!$C$2:$C$16</c:f>
              <c:numCache>
                <c:formatCode>General</c:formatCode>
                <c:ptCount val="15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2F-4BCF-900D-D1BCE140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[1]DH!$B$1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C-4520-9CDE-7E36F814F9D3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C-4520-9CDE-7E36F814F9D3}"/>
                </c:ext>
              </c:extLst>
            </c:dLbl>
            <c:dLbl>
              <c:idx val="2"/>
              <c:layout>
                <c:manualLayout>
                  <c:x val="0"/>
                  <c:y val="-2.860990050662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C-4520-9CDE-7E36F814F9D3}"/>
                </c:ext>
              </c:extLst>
            </c:dLbl>
            <c:dLbl>
              <c:idx val="3"/>
              <c:layout>
                <c:manualLayout>
                  <c:x val="-2.8129070268582722E-17"/>
                  <c:y val="-4.2273087957028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C-4520-9CDE-7E36F814F9D3}"/>
                </c:ext>
              </c:extLst>
            </c:dLbl>
            <c:dLbl>
              <c:idx val="4"/>
              <c:layout>
                <c:manualLayout>
                  <c:x val="0"/>
                  <c:y val="-2.7349813831410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C-4520-9CDE-7E36F814F9D3}"/>
                </c:ext>
              </c:extLst>
            </c:dLbl>
            <c:dLbl>
              <c:idx val="5"/>
              <c:layout>
                <c:manualLayout>
                  <c:x val="0"/>
                  <c:y val="-5.4195202343893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C-4520-9CDE-7E36F814F9D3}"/>
                </c:ext>
              </c:extLst>
            </c:dLbl>
            <c:dLbl>
              <c:idx val="16"/>
              <c:layout>
                <c:manualLayout>
                  <c:x val="0"/>
                  <c:y val="-3.549117988158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C-4520-9CDE-7E36F814F9D3}"/>
                </c:ext>
              </c:extLst>
            </c:dLbl>
            <c:dLbl>
              <c:idx val="17"/>
              <c:layout>
                <c:manualLayout>
                  <c:x val="-1.1251628107433089E-16"/>
                  <c:y val="-4.0532014893487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C-4520-9CDE-7E36F814F9D3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[1]DH!$B$2:$B$20</c:f>
              <c:strCach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SIMULACIÓN DE REINTEGRO</c:v>
                </c:pt>
              </c:strCache>
            </c:strRef>
          </c:cat>
          <c:val>
            <c:numRef>
              <c:f>[1]DH!$C$2:$C$20</c:f>
              <c:numCache>
                <c:formatCode>General</c:formatCode>
                <c:ptCount val="19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88</c:v>
                </c:pt>
                <c:pt idx="7">
                  <c:v>140</c:v>
                </c:pt>
                <c:pt idx="8">
                  <c:v>147</c:v>
                </c:pt>
                <c:pt idx="9">
                  <c:v>221</c:v>
                </c:pt>
                <c:pt idx="10">
                  <c:v>103</c:v>
                </c:pt>
                <c:pt idx="11">
                  <c:v>94</c:v>
                </c:pt>
                <c:pt idx="12">
                  <c:v>62</c:v>
                </c:pt>
                <c:pt idx="13">
                  <c:v>48</c:v>
                </c:pt>
                <c:pt idx="14">
                  <c:v>90</c:v>
                </c:pt>
                <c:pt idx="15">
                  <c:v>43</c:v>
                </c:pt>
                <c:pt idx="16">
                  <c:v>7</c:v>
                </c:pt>
                <c:pt idx="17">
                  <c:v>15</c:v>
                </c:pt>
                <c:pt idx="1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9C-4520-9CDE-7E36F814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[1]Resultados!$K$5</c:f>
              <c:strCache>
                <c:ptCount val="1"/>
                <c:pt idx="0">
                  <c:v>Observaciones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.13411685643795862"/>
                  <c:y val="2.6057078060773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A-4A88-9E5A-1007AA1D3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[1]Resultados!$L$4:$AG$4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[1]Resultados!$L$5:$AG$5</c:f>
              <c:numCache>
                <c:formatCode>#,##0</c:formatCode>
                <c:ptCount val="22"/>
                <c:pt idx="0">
                  <c:v>2584</c:v>
                </c:pt>
                <c:pt idx="1">
                  <c:v>2644</c:v>
                </c:pt>
                <c:pt idx="2">
                  <c:v>3424</c:v>
                </c:pt>
                <c:pt idx="3">
                  <c:v>4519</c:v>
                </c:pt>
                <c:pt idx="4">
                  <c:v>7182</c:v>
                </c:pt>
                <c:pt idx="5">
                  <c:v>9553</c:v>
                </c:pt>
                <c:pt idx="6">
                  <c:v>7746</c:v>
                </c:pt>
                <c:pt idx="7">
                  <c:v>19196</c:v>
                </c:pt>
                <c:pt idx="8">
                  <c:v>23343</c:v>
                </c:pt>
                <c:pt idx="9">
                  <c:v>22390</c:v>
                </c:pt>
                <c:pt idx="10">
                  <c:v>22964</c:v>
                </c:pt>
                <c:pt idx="11">
                  <c:v>23581</c:v>
                </c:pt>
                <c:pt idx="12">
                  <c:v>26280</c:v>
                </c:pt>
                <c:pt idx="13">
                  <c:v>26330</c:v>
                </c:pt>
                <c:pt idx="14">
                  <c:v>26799</c:v>
                </c:pt>
                <c:pt idx="15">
                  <c:v>26154</c:v>
                </c:pt>
                <c:pt idx="16">
                  <c:v>28070</c:v>
                </c:pt>
                <c:pt idx="17">
                  <c:v>21181</c:v>
                </c:pt>
                <c:pt idx="18">
                  <c:v>24288</c:v>
                </c:pt>
                <c:pt idx="19">
                  <c:v>26780</c:v>
                </c:pt>
                <c:pt idx="20">
                  <c:v>25605</c:v>
                </c:pt>
                <c:pt idx="21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A-4A88-9E5A-1007AA1D3FBB}"/>
            </c:ext>
          </c:extLst>
        </c:ser>
        <c:ser>
          <c:idx val="2"/>
          <c:order val="1"/>
          <c:tx>
            <c:strRef>
              <c:f>[1]Resultados!$K$6</c:f>
              <c:strCache>
                <c:ptCount val="1"/>
                <c:pt idx="0">
                  <c:v>Recomendaciones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7.2423813132145007E-2"/>
                  <c:y val="2.54431883165442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2A-4A88-9E5A-1007AA1D3FBB}"/>
                </c:ext>
              </c:extLst>
            </c:dLbl>
            <c:dLbl>
              <c:idx val="21"/>
              <c:layout>
                <c:manualLayout>
                  <c:x val="2.11403156195433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2A-4A88-9E5A-1007AA1D3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[1]Resultados!$L$4:$AG$4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[1]Resultados!$L$6:$AG$6</c:f>
              <c:numCache>
                <c:formatCode>#,##0</c:formatCode>
                <c:ptCount val="22"/>
                <c:pt idx="0">
                  <c:v>2505</c:v>
                </c:pt>
                <c:pt idx="1">
                  <c:v>2295</c:v>
                </c:pt>
                <c:pt idx="2">
                  <c:v>3064</c:v>
                </c:pt>
                <c:pt idx="3">
                  <c:v>4269</c:v>
                </c:pt>
                <c:pt idx="4">
                  <c:v>6684</c:v>
                </c:pt>
                <c:pt idx="5">
                  <c:v>7620</c:v>
                </c:pt>
                <c:pt idx="6">
                  <c:v>6296</c:v>
                </c:pt>
                <c:pt idx="7">
                  <c:v>5909</c:v>
                </c:pt>
                <c:pt idx="8">
                  <c:v>6935</c:v>
                </c:pt>
                <c:pt idx="9">
                  <c:v>6369</c:v>
                </c:pt>
                <c:pt idx="10">
                  <c:v>6564</c:v>
                </c:pt>
                <c:pt idx="11">
                  <c:v>6902</c:v>
                </c:pt>
                <c:pt idx="12">
                  <c:v>3366</c:v>
                </c:pt>
                <c:pt idx="13">
                  <c:v>3979</c:v>
                </c:pt>
                <c:pt idx="14">
                  <c:v>4453</c:v>
                </c:pt>
                <c:pt idx="15">
                  <c:v>4446</c:v>
                </c:pt>
                <c:pt idx="16">
                  <c:v>5013</c:v>
                </c:pt>
                <c:pt idx="17">
                  <c:v>3763</c:v>
                </c:pt>
                <c:pt idx="18">
                  <c:v>2444</c:v>
                </c:pt>
                <c:pt idx="19">
                  <c:v>2317</c:v>
                </c:pt>
                <c:pt idx="20">
                  <c:v>1836</c:v>
                </c:pt>
                <c:pt idx="2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2A-4A88-9E5A-1007AA1D3FBB}"/>
            </c:ext>
          </c:extLst>
        </c:ser>
        <c:ser>
          <c:idx val="3"/>
          <c:order val="2"/>
          <c:tx>
            <c:strRef>
              <c:f>[1]Resultados!$K$7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5.91287524653748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2A-4A88-9E5A-1007AA1D3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[1]Resultados!$L$4:$AG$4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[1]Resultados!$L$7:$AG$7</c:f>
              <c:numCache>
                <c:formatCode>#,##0</c:formatCode>
                <c:ptCount val="22"/>
                <c:pt idx="0">
                  <c:v>943</c:v>
                </c:pt>
                <c:pt idx="1">
                  <c:v>1208</c:v>
                </c:pt>
                <c:pt idx="2">
                  <c:v>1035</c:v>
                </c:pt>
                <c:pt idx="3">
                  <c:v>1020</c:v>
                </c:pt>
                <c:pt idx="4">
                  <c:v>1613</c:v>
                </c:pt>
                <c:pt idx="5">
                  <c:v>3560</c:v>
                </c:pt>
                <c:pt idx="6">
                  <c:v>2773</c:v>
                </c:pt>
                <c:pt idx="7">
                  <c:v>3168</c:v>
                </c:pt>
                <c:pt idx="8">
                  <c:v>4361</c:v>
                </c:pt>
                <c:pt idx="9">
                  <c:v>3955</c:v>
                </c:pt>
                <c:pt idx="10">
                  <c:v>5103</c:v>
                </c:pt>
                <c:pt idx="11">
                  <c:v>4970</c:v>
                </c:pt>
                <c:pt idx="12">
                  <c:v>6537</c:v>
                </c:pt>
                <c:pt idx="13">
                  <c:v>7088</c:v>
                </c:pt>
                <c:pt idx="14">
                  <c:v>6258</c:v>
                </c:pt>
                <c:pt idx="15">
                  <c:v>5287</c:v>
                </c:pt>
                <c:pt idx="16">
                  <c:v>5408</c:v>
                </c:pt>
                <c:pt idx="17">
                  <c:v>3412</c:v>
                </c:pt>
                <c:pt idx="18">
                  <c:v>3159</c:v>
                </c:pt>
                <c:pt idx="19">
                  <c:v>3289</c:v>
                </c:pt>
                <c:pt idx="20">
                  <c:v>3647</c:v>
                </c:pt>
                <c:pt idx="2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2A-4A88-9E5A-1007AA1D3FB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27923903"/>
        <c:axId val="198941167"/>
      </c:barChart>
      <c:catAx>
        <c:axId val="1327923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941167"/>
        <c:crosses val="autoZero"/>
        <c:auto val="1"/>
        <c:lblAlgn val="ctr"/>
        <c:lblOffset val="100"/>
        <c:noMultiLvlLbl val="0"/>
      </c:catAx>
      <c:valAx>
        <c:axId val="198941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923903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[1]Recomendaciones!$B$1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"/>
                  <c:y val="-2.69603857657328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B-43B8-8C78-2A46C7D6D643}"/>
                </c:ext>
              </c:extLst>
            </c:dLbl>
            <c:dLbl>
              <c:idx val="21"/>
              <c:layout>
                <c:manualLayout>
                  <c:x val="0"/>
                  <c:y val="-2.8677287432094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B-43B8-8C78-2A46C7D6D643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[1]Recomendaciones!$B$2:$B$23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[1]Recomendaciones!$C$2:$C$23</c:f>
              <c:numCache>
                <c:formatCode>#,##0</c:formatCode>
                <c:ptCount val="22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B-43B8-8C78-2A46C7D6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'[1]Recomendaciones al Desempeño'!$B$1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-1.1251628107433089E-16"/>
                  <c:y val="-3.44078618079716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E-42E7-BA05-BF1D1315535C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'[1]Recomendaciones al Desempeño'!$B$2:$B$22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strCache>
            </c:strRef>
          </c:cat>
          <c:val>
            <c:numRef>
              <c:f>'[1]Recomendaciones al Desempeño'!$C$2:$C$22</c:f>
              <c:numCache>
                <c:formatCode>#,##0</c:formatCode>
                <c:ptCount val="21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E-42E7-BA05-BF1D1315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[1]PIIC!$B$1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251628107433089E-16"/>
                  <c:y val="-2.983653787462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A-4CC3-8746-B9D097AFF748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[1]PIIC!$B$2:$B$7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[1]PIIC!$C$2:$C$7</c:f>
              <c:numCache>
                <c:formatCode>#,##0</c:formatCode>
                <c:ptCount val="6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A-4CC3-8746-B9D097AFF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92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[1]PEFCF!$B$1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4998125234345708E-3"/>
                  <c:y val="-2.98021119453091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1-45F2-8795-9891E7AD6292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[1]PEFCF!$B$2:$B$23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2022</c:v>
                </c:pt>
              </c:numCache>
            </c:numRef>
          </c:cat>
          <c:val>
            <c:numRef>
              <c:f>[1]PEFCF!$C$2:$C$23</c:f>
              <c:numCache>
                <c:formatCode>#,##0</c:formatCode>
                <c:ptCount val="22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1-45F2-8795-9891E7AD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'[1]Solicitud de Aclaración'!$B$1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1251628107433089E-16"/>
                  <c:y val="-3.4427638405664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14-4539-878C-8DA3ADB3E68F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'[1]Solicitud de Aclaración'!$B$2:$B$23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'[1]Solicitud de Aclaración'!$C$2:$C$23</c:f>
              <c:numCache>
                <c:formatCode>#,##0</c:formatCode>
                <c:ptCount val="22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4-4539-878C-8DA3ADB3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'[1]Pliegos de Observaciones'!$B$1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7-471F-950F-555C66668E49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7-471F-950F-555C66668E49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7-471F-950F-555C66668E49}"/>
                </c:ext>
              </c:extLst>
            </c:dLbl>
            <c:dLbl>
              <c:idx val="21"/>
              <c:layout>
                <c:manualLayout>
                  <c:x val="0"/>
                  <c:y val="-3.7199291948971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7-471F-950F-555C66668E49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'[1]Pliegos de Observaciones'!$B$2:$B$23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'[1]Pliegos de Observaciones'!$C$2:$C$23</c:f>
              <c:numCache>
                <c:formatCode>#,##0</c:formatCode>
                <c:ptCount val="22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2550</c:v>
                </c:pt>
                <c:pt idx="17">
                  <c:v>1508</c:v>
                </c:pt>
                <c:pt idx="18">
                  <c:v>1333</c:v>
                </c:pt>
                <c:pt idx="19">
                  <c:v>1429</c:v>
                </c:pt>
                <c:pt idx="20">
                  <c:v>1630</c:v>
                </c:pt>
                <c:pt idx="2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1F-950F-555C6666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[1]PRAS!$B$2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8-4D10-967B-2DF67254D720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8-4D10-967B-2DF67254D720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8-4D10-967B-2DF67254D720}"/>
                </c:ext>
              </c:extLst>
            </c:dLbl>
            <c:dLbl>
              <c:idx val="21"/>
              <c:layout>
                <c:manualLayout>
                  <c:x val="-1.1251628107433089E-16"/>
                  <c:y val="-4.401513764267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68-4D10-967B-2DF67254D720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[1]PRAS!$B$3:$B$24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2022</c:v>
                </c:pt>
              </c:numCache>
            </c:numRef>
          </c:cat>
          <c:val>
            <c:numRef>
              <c:f>[1]PRAS!$C$3:$C$24</c:f>
              <c:numCache>
                <c:formatCode>#,##0</c:formatCode>
                <c:ptCount val="22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68-4D10-967B-2DF67254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14</xdr:col>
      <xdr:colOff>0</xdr:colOff>
      <xdr:row>32</xdr:row>
      <xdr:rowOff>160964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964DFF-C3BE-AB88-B800-AC1351CF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499"/>
          <a:ext cx="9906000" cy="6066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1707A3-715E-4D4A-B183-B2F141F2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50879F-052C-4682-A240-9A4F7EED5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DE9F8A-7621-4EF0-908E-8BB6ADAD2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161925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3BB9BB-5B4D-12C3-2F57-FE7B5B4BA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714375</xdr:colOff>
      <xdr:row>28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DF2187-8591-4A67-87A6-0C6122B92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533400</xdr:colOff>
      <xdr:row>23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8D9EE6-622A-42D8-A43F-E7095CAB2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00AC05-9032-4782-B958-1A8F4CCAF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47625</xdr:colOff>
      <xdr:row>21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9F3947-74EB-4A9B-AB34-1C67BC66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85725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F84751-55A2-4667-B607-FB1F66912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89F119-A1EE-4F56-8F44-8A9FC09EC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353F02-4B35-4E30-9E04-57D3806EC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a\AESII\DGICR\DEIA\SIE\Informe%20Estad&#237;stico\Noviembre%202024\Gr&#225;ficos%20y%20Tablas%20Nov%202024.xlsx" TargetMode="External"/><Relationship Id="rId1" Type="http://schemas.openxmlformats.org/officeDocument/2006/relationships/externalLinkPath" Target="Gr&#225;ficos%20y%20Tablas%20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orías"/>
      <sheetName val="Auditorías por sector"/>
      <sheetName val="Resultados"/>
      <sheetName val="Hoja1"/>
      <sheetName val="Acciones"/>
      <sheetName val="Recomendaciones"/>
      <sheetName val="Recomendaciones al Desempeño"/>
      <sheetName val="PIIC"/>
      <sheetName val="PEFCF"/>
      <sheetName val="Solicitud de Aclaración"/>
      <sheetName val="Pliegos de Observaciones"/>
      <sheetName val="PRAS"/>
      <sheetName val="FRR"/>
      <sheetName val="DH"/>
    </sheetNames>
    <sheetDataSet>
      <sheetData sheetId="0">
        <row r="2">
          <cell r="E2" t="str">
            <v>Porcentaje</v>
          </cell>
        </row>
        <row r="3">
          <cell r="D3" t="str">
            <v>Financiera y de Cumplimiento</v>
          </cell>
          <cell r="E3">
            <v>0.58250655719010147</v>
          </cell>
        </row>
        <row r="4">
          <cell r="D4" t="str">
            <v>Financiera con Enfoque de Desempeño</v>
          </cell>
          <cell r="E4">
            <v>0.15760063861329685</v>
          </cell>
        </row>
        <row r="5">
          <cell r="D5" t="str">
            <v>Cumplimiento a Inversiones Físicas</v>
          </cell>
          <cell r="E5">
            <v>9.5145778690082491E-2</v>
          </cell>
        </row>
        <row r="6">
          <cell r="D6" t="str">
            <v>Desempeño</v>
          </cell>
          <cell r="E6">
            <v>8.8037404493100699E-2</v>
          </cell>
        </row>
        <row r="7">
          <cell r="D7" t="str">
            <v>Otras</v>
          </cell>
          <cell r="E7">
            <v>6.9400000000000003E-2</v>
          </cell>
        </row>
        <row r="8">
          <cell r="D8" t="str">
            <v>De Cumplimiento Forense</v>
          </cell>
          <cell r="E8">
            <v>7.2604249819439694E-3</v>
          </cell>
        </row>
      </sheetData>
      <sheetData sheetId="1"/>
      <sheetData sheetId="2">
        <row r="4"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  <cell r="S4" t="str">
            <v>2009</v>
          </cell>
          <cell r="T4" t="str">
            <v>2010</v>
          </cell>
          <cell r="U4" t="str">
            <v>2011</v>
          </cell>
          <cell r="V4" t="str">
            <v>2012</v>
          </cell>
          <cell r="W4" t="str">
            <v>2013</v>
          </cell>
          <cell r="X4" t="str">
            <v>2014</v>
          </cell>
          <cell r="Y4" t="str">
            <v>2015</v>
          </cell>
          <cell r="Z4" t="str">
            <v>2016</v>
          </cell>
          <cell r="AA4" t="str">
            <v>2017</v>
          </cell>
          <cell r="AB4" t="str">
            <v>2018</v>
          </cell>
          <cell r="AC4" t="str">
            <v>2019</v>
          </cell>
          <cell r="AD4" t="str">
            <v>2020</v>
          </cell>
          <cell r="AE4" t="str">
            <v>2021</v>
          </cell>
          <cell r="AF4" t="str">
            <v>2022</v>
          </cell>
          <cell r="AG4" t="str">
            <v>2023</v>
          </cell>
        </row>
        <row r="5">
          <cell r="K5" t="str">
            <v>Observaciones</v>
          </cell>
          <cell r="L5">
            <v>2584</v>
          </cell>
          <cell r="M5">
            <v>2644</v>
          </cell>
          <cell r="N5">
            <v>3424</v>
          </cell>
          <cell r="O5">
            <v>4519</v>
          </cell>
          <cell r="P5">
            <v>7182</v>
          </cell>
          <cell r="Q5">
            <v>9553</v>
          </cell>
          <cell r="R5">
            <v>7746</v>
          </cell>
          <cell r="S5">
            <v>19196</v>
          </cell>
          <cell r="T5">
            <v>23343</v>
          </cell>
          <cell r="U5">
            <v>22390</v>
          </cell>
          <cell r="V5">
            <v>22964</v>
          </cell>
          <cell r="W5">
            <v>23581</v>
          </cell>
          <cell r="X5">
            <v>26280</v>
          </cell>
          <cell r="Y5">
            <v>26330</v>
          </cell>
          <cell r="Z5">
            <v>26799</v>
          </cell>
          <cell r="AA5">
            <v>26154</v>
          </cell>
          <cell r="AB5">
            <v>28070</v>
          </cell>
          <cell r="AC5">
            <v>21181</v>
          </cell>
          <cell r="AD5">
            <v>24288</v>
          </cell>
          <cell r="AE5">
            <v>26780</v>
          </cell>
          <cell r="AF5">
            <v>25605</v>
          </cell>
          <cell r="AG5">
            <v>920</v>
          </cell>
        </row>
        <row r="6">
          <cell r="K6" t="str">
            <v>Recomendaciones</v>
          </cell>
          <cell r="L6">
            <v>2505</v>
          </cell>
          <cell r="M6">
            <v>2295</v>
          </cell>
          <cell r="N6">
            <v>3064</v>
          </cell>
          <cell r="O6">
            <v>4269</v>
          </cell>
          <cell r="P6">
            <v>6684</v>
          </cell>
          <cell r="Q6">
            <v>7620</v>
          </cell>
          <cell r="R6">
            <v>6296</v>
          </cell>
          <cell r="S6">
            <v>5909</v>
          </cell>
          <cell r="T6">
            <v>6935</v>
          </cell>
          <cell r="U6">
            <v>6369</v>
          </cell>
          <cell r="V6">
            <v>6564</v>
          </cell>
          <cell r="W6">
            <v>6902</v>
          </cell>
          <cell r="X6">
            <v>3366</v>
          </cell>
          <cell r="Y6">
            <v>3979</v>
          </cell>
          <cell r="Z6">
            <v>4453</v>
          </cell>
          <cell r="AA6">
            <v>4446</v>
          </cell>
          <cell r="AB6">
            <v>5013</v>
          </cell>
          <cell r="AC6">
            <v>3763</v>
          </cell>
          <cell r="AD6">
            <v>2444</v>
          </cell>
          <cell r="AE6">
            <v>2317</v>
          </cell>
          <cell r="AF6">
            <v>1836</v>
          </cell>
          <cell r="AG6">
            <v>65</v>
          </cell>
        </row>
        <row r="7">
          <cell r="K7" t="str">
            <v>Acciones</v>
          </cell>
          <cell r="L7">
            <v>943</v>
          </cell>
          <cell r="M7">
            <v>1208</v>
          </cell>
          <cell r="N7">
            <v>1035</v>
          </cell>
          <cell r="O7">
            <v>1020</v>
          </cell>
          <cell r="P7">
            <v>1613</v>
          </cell>
          <cell r="Q7">
            <v>3560</v>
          </cell>
          <cell r="R7">
            <v>2773</v>
          </cell>
          <cell r="S7">
            <v>3168</v>
          </cell>
          <cell r="T7">
            <v>4361</v>
          </cell>
          <cell r="U7">
            <v>3955</v>
          </cell>
          <cell r="V7">
            <v>5103</v>
          </cell>
          <cell r="W7">
            <v>4970</v>
          </cell>
          <cell r="X7">
            <v>6537</v>
          </cell>
          <cell r="Y7">
            <v>7088</v>
          </cell>
          <cell r="Z7">
            <v>6258</v>
          </cell>
          <cell r="AA7">
            <v>5287</v>
          </cell>
          <cell r="AB7">
            <v>5408</v>
          </cell>
          <cell r="AC7">
            <v>3412</v>
          </cell>
          <cell r="AD7">
            <v>3159</v>
          </cell>
          <cell r="AE7">
            <v>3289</v>
          </cell>
          <cell r="AF7">
            <v>3647</v>
          </cell>
          <cell r="AG7">
            <v>210</v>
          </cell>
        </row>
      </sheetData>
      <sheetData sheetId="3"/>
      <sheetData sheetId="4"/>
      <sheetData sheetId="5">
        <row r="1">
          <cell r="B1" t="str">
            <v>Cuenta Pública</v>
          </cell>
        </row>
        <row r="2">
          <cell r="B2" t="str">
            <v>2002</v>
          </cell>
          <cell r="C2">
            <v>2227</v>
          </cell>
        </row>
        <row r="3">
          <cell r="B3" t="str">
            <v>2003</v>
          </cell>
          <cell r="C3">
            <v>1957</v>
          </cell>
        </row>
        <row r="4">
          <cell r="B4" t="str">
            <v>2004</v>
          </cell>
          <cell r="C4">
            <v>2554</v>
          </cell>
        </row>
        <row r="5">
          <cell r="B5" t="str">
            <v>2005</v>
          </cell>
          <cell r="C5">
            <v>3810</v>
          </cell>
        </row>
        <row r="6">
          <cell r="B6" t="str">
            <v>2006</v>
          </cell>
          <cell r="C6">
            <v>6078</v>
          </cell>
        </row>
        <row r="7">
          <cell r="B7" t="str">
            <v>2007</v>
          </cell>
          <cell r="C7">
            <v>6176</v>
          </cell>
        </row>
        <row r="8">
          <cell r="B8" t="str">
            <v>2008</v>
          </cell>
          <cell r="C8">
            <v>5105</v>
          </cell>
        </row>
        <row r="9">
          <cell r="B9" t="str">
            <v>2009</v>
          </cell>
          <cell r="C9">
            <v>4568</v>
          </cell>
        </row>
        <row r="10">
          <cell r="B10" t="str">
            <v>2010</v>
          </cell>
          <cell r="C10">
            <v>5734</v>
          </cell>
        </row>
        <row r="11">
          <cell r="B11" t="str">
            <v>2011</v>
          </cell>
          <cell r="C11">
            <v>5312</v>
          </cell>
        </row>
        <row r="12">
          <cell r="B12" t="str">
            <v>2012</v>
          </cell>
          <cell r="C12">
            <v>5215</v>
          </cell>
        </row>
        <row r="13">
          <cell r="B13" t="str">
            <v>2013</v>
          </cell>
          <cell r="C13">
            <v>5299</v>
          </cell>
        </row>
        <row r="14">
          <cell r="B14" t="str">
            <v>2014</v>
          </cell>
          <cell r="C14">
            <v>2234</v>
          </cell>
        </row>
        <row r="15">
          <cell r="B15" t="str">
            <v>2015</v>
          </cell>
          <cell r="C15">
            <v>2772</v>
          </cell>
        </row>
        <row r="16">
          <cell r="B16" t="str">
            <v>2016</v>
          </cell>
          <cell r="C16">
            <v>3278</v>
          </cell>
        </row>
        <row r="17">
          <cell r="B17" t="str">
            <v>2017</v>
          </cell>
          <cell r="C17">
            <v>2415</v>
          </cell>
        </row>
        <row r="18">
          <cell r="B18" t="str">
            <v>2018</v>
          </cell>
          <cell r="C18">
            <v>2225</v>
          </cell>
        </row>
        <row r="19">
          <cell r="B19" t="str">
            <v>2019</v>
          </cell>
          <cell r="C19">
            <v>1737</v>
          </cell>
        </row>
        <row r="20">
          <cell r="B20" t="str">
            <v>2020</v>
          </cell>
          <cell r="C20">
            <v>1598</v>
          </cell>
        </row>
        <row r="21">
          <cell r="B21" t="str">
            <v>2021</v>
          </cell>
          <cell r="C21">
            <v>1801</v>
          </cell>
        </row>
        <row r="22">
          <cell r="B22" t="str">
            <v>2022</v>
          </cell>
          <cell r="C22">
            <v>1280</v>
          </cell>
        </row>
        <row r="23">
          <cell r="B23" t="str">
            <v>2023</v>
          </cell>
          <cell r="C23">
            <v>65</v>
          </cell>
        </row>
      </sheetData>
      <sheetData sheetId="6">
        <row r="1">
          <cell r="B1" t="str">
            <v>Cuenta Pública</v>
          </cell>
        </row>
        <row r="2">
          <cell r="B2" t="str">
            <v>2002</v>
          </cell>
          <cell r="C2">
            <v>278</v>
          </cell>
        </row>
        <row r="3">
          <cell r="B3" t="str">
            <v>2003</v>
          </cell>
          <cell r="C3">
            <v>338</v>
          </cell>
        </row>
        <row r="4">
          <cell r="B4" t="str">
            <v>2004</v>
          </cell>
          <cell r="C4">
            <v>510</v>
          </cell>
        </row>
        <row r="5">
          <cell r="B5" t="str">
            <v>2005</v>
          </cell>
          <cell r="C5">
            <v>459</v>
          </cell>
        </row>
        <row r="6">
          <cell r="B6" t="str">
            <v>2006</v>
          </cell>
          <cell r="C6">
            <v>606</v>
          </cell>
        </row>
        <row r="7">
          <cell r="B7" t="str">
            <v>2007</v>
          </cell>
          <cell r="C7">
            <v>1444</v>
          </cell>
        </row>
        <row r="8">
          <cell r="B8" t="str">
            <v>2008</v>
          </cell>
          <cell r="C8">
            <v>1191</v>
          </cell>
        </row>
        <row r="9">
          <cell r="B9" t="str">
            <v>2009</v>
          </cell>
          <cell r="C9">
            <v>1341</v>
          </cell>
        </row>
        <row r="10">
          <cell r="B10" t="str">
            <v>2010</v>
          </cell>
          <cell r="C10">
            <v>1201</v>
          </cell>
        </row>
        <row r="11">
          <cell r="B11" t="str">
            <v>2011</v>
          </cell>
          <cell r="C11">
            <v>1057</v>
          </cell>
        </row>
        <row r="12">
          <cell r="B12" t="str">
            <v>2012</v>
          </cell>
          <cell r="C12">
            <v>1349</v>
          </cell>
        </row>
        <row r="13">
          <cell r="B13" t="str">
            <v>2013</v>
          </cell>
          <cell r="C13">
            <v>1603</v>
          </cell>
        </row>
        <row r="14">
          <cell r="B14" t="str">
            <v>2014</v>
          </cell>
          <cell r="C14">
            <v>1132</v>
          </cell>
        </row>
        <row r="15">
          <cell r="B15" t="str">
            <v>2015</v>
          </cell>
          <cell r="C15">
            <v>1207</v>
          </cell>
        </row>
        <row r="16">
          <cell r="B16" t="str">
            <v>2016</v>
          </cell>
          <cell r="C16">
            <v>1175</v>
          </cell>
        </row>
        <row r="17">
          <cell r="B17" t="str">
            <v>2017</v>
          </cell>
          <cell r="C17">
            <v>2031</v>
          </cell>
        </row>
        <row r="18">
          <cell r="B18" t="str">
            <v>2018</v>
          </cell>
          <cell r="C18">
            <v>2788</v>
          </cell>
        </row>
        <row r="19">
          <cell r="B19" t="str">
            <v>2019</v>
          </cell>
          <cell r="C19">
            <v>2026</v>
          </cell>
        </row>
        <row r="20">
          <cell r="B20" t="str">
            <v>2020</v>
          </cell>
          <cell r="C20">
            <v>846</v>
          </cell>
        </row>
        <row r="21">
          <cell r="B21" t="str">
            <v>2021</v>
          </cell>
          <cell r="C21">
            <v>516</v>
          </cell>
        </row>
        <row r="22">
          <cell r="B22" t="str">
            <v>2022</v>
          </cell>
          <cell r="C22">
            <v>556</v>
          </cell>
        </row>
      </sheetData>
      <sheetData sheetId="7">
        <row r="1">
          <cell r="B1" t="str">
            <v>Cuenta Pública</v>
          </cell>
        </row>
        <row r="2">
          <cell r="B2">
            <v>2002</v>
          </cell>
          <cell r="C2">
            <v>464</v>
          </cell>
        </row>
        <row r="3">
          <cell r="B3">
            <v>2003</v>
          </cell>
          <cell r="C3">
            <v>382</v>
          </cell>
        </row>
        <row r="4">
          <cell r="B4">
            <v>2004</v>
          </cell>
          <cell r="C4">
            <v>40</v>
          </cell>
        </row>
        <row r="5">
          <cell r="B5">
            <v>2005</v>
          </cell>
          <cell r="C5">
            <v>50</v>
          </cell>
        </row>
        <row r="6">
          <cell r="B6">
            <v>2006</v>
          </cell>
          <cell r="C6">
            <v>217</v>
          </cell>
        </row>
        <row r="7">
          <cell r="B7">
            <v>2007</v>
          </cell>
          <cell r="C7">
            <v>6</v>
          </cell>
        </row>
      </sheetData>
      <sheetData sheetId="8">
        <row r="1">
          <cell r="B1" t="str">
            <v>Cuenta Pública</v>
          </cell>
        </row>
        <row r="2">
          <cell r="B2">
            <v>2002</v>
          </cell>
          <cell r="C2">
            <v>20</v>
          </cell>
        </row>
        <row r="3">
          <cell r="B3">
            <v>2003</v>
          </cell>
          <cell r="C3">
            <v>19</v>
          </cell>
        </row>
        <row r="4">
          <cell r="B4">
            <v>2004</v>
          </cell>
          <cell r="C4">
            <v>19</v>
          </cell>
        </row>
        <row r="5">
          <cell r="B5">
            <v>2005</v>
          </cell>
          <cell r="C5">
            <v>15</v>
          </cell>
        </row>
        <row r="6">
          <cell r="B6">
            <v>2006</v>
          </cell>
          <cell r="C6">
            <v>27</v>
          </cell>
        </row>
        <row r="7">
          <cell r="B7">
            <v>2007</v>
          </cell>
          <cell r="C7">
            <v>77</v>
          </cell>
        </row>
        <row r="8">
          <cell r="B8">
            <v>2008</v>
          </cell>
          <cell r="C8">
            <v>76</v>
          </cell>
        </row>
        <row r="9">
          <cell r="B9">
            <v>2009</v>
          </cell>
          <cell r="C9">
            <v>67</v>
          </cell>
        </row>
        <row r="10">
          <cell r="B10">
            <v>2010</v>
          </cell>
          <cell r="C10">
            <v>100</v>
          </cell>
        </row>
        <row r="11">
          <cell r="B11">
            <v>2011</v>
          </cell>
          <cell r="C11">
            <v>110</v>
          </cell>
        </row>
        <row r="12">
          <cell r="B12">
            <v>2012</v>
          </cell>
          <cell r="C12">
            <v>86</v>
          </cell>
        </row>
        <row r="13">
          <cell r="B13">
            <v>2013</v>
          </cell>
          <cell r="C13">
            <v>57</v>
          </cell>
        </row>
        <row r="14">
          <cell r="B14">
            <v>2014</v>
          </cell>
          <cell r="C14">
            <v>76</v>
          </cell>
        </row>
        <row r="15">
          <cell r="B15">
            <v>2015</v>
          </cell>
          <cell r="C15">
            <v>75</v>
          </cell>
        </row>
        <row r="16">
          <cell r="B16">
            <v>2016</v>
          </cell>
          <cell r="C16">
            <v>196</v>
          </cell>
        </row>
        <row r="17">
          <cell r="B17">
            <v>2017</v>
          </cell>
          <cell r="C17">
            <v>143</v>
          </cell>
        </row>
        <row r="18">
          <cell r="B18">
            <v>2018</v>
          </cell>
          <cell r="C18">
            <v>206</v>
          </cell>
        </row>
        <row r="19">
          <cell r="B19">
            <v>2019</v>
          </cell>
          <cell r="C19">
            <v>116</v>
          </cell>
        </row>
        <row r="20">
          <cell r="B20">
            <v>2020</v>
          </cell>
          <cell r="C20">
            <v>123</v>
          </cell>
        </row>
        <row r="21">
          <cell r="B21">
            <v>2021</v>
          </cell>
          <cell r="C21">
            <v>115</v>
          </cell>
        </row>
        <row r="22">
          <cell r="B22">
            <v>2022</v>
          </cell>
          <cell r="C22">
            <v>176</v>
          </cell>
        </row>
        <row r="23">
          <cell r="B23">
            <v>2022</v>
          </cell>
          <cell r="C23">
            <v>3</v>
          </cell>
        </row>
      </sheetData>
      <sheetData sheetId="9">
        <row r="1">
          <cell r="B1" t="str">
            <v>Cuenta Pública</v>
          </cell>
        </row>
        <row r="2">
          <cell r="B2" t="str">
            <v>2002</v>
          </cell>
          <cell r="C2">
            <v>336</v>
          </cell>
        </row>
        <row r="3">
          <cell r="B3" t="str">
            <v>2003</v>
          </cell>
          <cell r="C3">
            <v>540</v>
          </cell>
        </row>
        <row r="4">
          <cell r="B4" t="str">
            <v>2004</v>
          </cell>
          <cell r="C4">
            <v>221</v>
          </cell>
        </row>
        <row r="5">
          <cell r="B5" t="str">
            <v>2005</v>
          </cell>
          <cell r="C5">
            <v>144</v>
          </cell>
        </row>
        <row r="6">
          <cell r="B6" t="str">
            <v>2006</v>
          </cell>
          <cell r="C6">
            <v>357</v>
          </cell>
        </row>
        <row r="7">
          <cell r="B7" t="str">
            <v>2007</v>
          </cell>
          <cell r="C7">
            <v>384</v>
          </cell>
        </row>
        <row r="8">
          <cell r="B8" t="str">
            <v>2008</v>
          </cell>
          <cell r="C8">
            <v>211</v>
          </cell>
        </row>
        <row r="9">
          <cell r="B9" t="str">
            <v>2009</v>
          </cell>
          <cell r="C9">
            <v>382</v>
          </cell>
        </row>
        <row r="10">
          <cell r="B10" t="str">
            <v>2010</v>
          </cell>
          <cell r="C10">
            <v>439</v>
          </cell>
        </row>
        <row r="11">
          <cell r="B11" t="str">
            <v>2011</v>
          </cell>
          <cell r="C11">
            <v>409</v>
          </cell>
        </row>
        <row r="12">
          <cell r="B12" t="str">
            <v>2012</v>
          </cell>
          <cell r="C12">
            <v>591</v>
          </cell>
        </row>
        <row r="13">
          <cell r="B13" t="str">
            <v>2013</v>
          </cell>
          <cell r="C13">
            <v>783</v>
          </cell>
        </row>
        <row r="14">
          <cell r="B14" t="str">
            <v>2014</v>
          </cell>
          <cell r="C14">
            <v>1208</v>
          </cell>
        </row>
        <row r="15">
          <cell r="B15" t="str">
            <v>2015</v>
          </cell>
          <cell r="C15">
            <v>377</v>
          </cell>
        </row>
        <row r="16">
          <cell r="B16" t="str">
            <v>2016</v>
          </cell>
          <cell r="C16">
            <v>643</v>
          </cell>
        </row>
        <row r="17">
          <cell r="B17" t="str">
            <v>2017</v>
          </cell>
          <cell r="C17">
            <v>204</v>
          </cell>
        </row>
        <row r="18">
          <cell r="B18" t="str">
            <v>2018</v>
          </cell>
          <cell r="C18">
            <v>147</v>
          </cell>
        </row>
        <row r="19">
          <cell r="B19" t="str">
            <v>2019</v>
          </cell>
          <cell r="C19">
            <v>194</v>
          </cell>
        </row>
        <row r="20">
          <cell r="B20" t="str">
            <v>2020</v>
          </cell>
          <cell r="C20">
            <v>204</v>
          </cell>
        </row>
        <row r="21">
          <cell r="B21" t="str">
            <v>2021</v>
          </cell>
          <cell r="C21">
            <v>181</v>
          </cell>
        </row>
        <row r="22">
          <cell r="B22" t="str">
            <v>2022</v>
          </cell>
          <cell r="C22">
            <v>111</v>
          </cell>
        </row>
        <row r="23">
          <cell r="B23" t="str">
            <v>2023</v>
          </cell>
          <cell r="C23">
            <v>1</v>
          </cell>
        </row>
      </sheetData>
      <sheetData sheetId="10">
        <row r="1">
          <cell r="B1" t="str">
            <v>Cuenta Pública</v>
          </cell>
        </row>
        <row r="2">
          <cell r="B2" t="str">
            <v>2002</v>
          </cell>
          <cell r="C2">
            <v>102</v>
          </cell>
        </row>
        <row r="3">
          <cell r="B3" t="str">
            <v>2003</v>
          </cell>
          <cell r="C3">
            <v>192</v>
          </cell>
        </row>
        <row r="4">
          <cell r="B4" t="str">
            <v>2004</v>
          </cell>
          <cell r="C4">
            <v>332</v>
          </cell>
        </row>
        <row r="5">
          <cell r="B5" t="str">
            <v>2005</v>
          </cell>
          <cell r="C5">
            <v>285</v>
          </cell>
        </row>
        <row r="6">
          <cell r="B6" t="str">
            <v>2006</v>
          </cell>
          <cell r="C6">
            <v>360</v>
          </cell>
        </row>
        <row r="7">
          <cell r="B7" t="str">
            <v>2007</v>
          </cell>
          <cell r="C7">
            <v>1174</v>
          </cell>
        </row>
        <row r="8">
          <cell r="B8" t="str">
            <v>2008</v>
          </cell>
          <cell r="C8">
            <v>1109</v>
          </cell>
        </row>
        <row r="9">
          <cell r="B9" t="str">
            <v>2009</v>
          </cell>
          <cell r="C9">
            <v>996</v>
          </cell>
        </row>
        <row r="10">
          <cell r="B10" t="str">
            <v>2010</v>
          </cell>
          <cell r="C10">
            <v>1337</v>
          </cell>
        </row>
        <row r="11">
          <cell r="B11" t="str">
            <v>2011</v>
          </cell>
          <cell r="C11">
            <v>1239</v>
          </cell>
        </row>
        <row r="12">
          <cell r="B12" t="str">
            <v>2012</v>
          </cell>
          <cell r="C12">
            <v>1910</v>
          </cell>
        </row>
        <row r="13">
          <cell r="B13" t="str">
            <v>2013</v>
          </cell>
          <cell r="C13">
            <v>2033</v>
          </cell>
        </row>
        <row r="14">
          <cell r="B14" t="str">
            <v>2014</v>
          </cell>
          <cell r="C14">
            <v>2226</v>
          </cell>
        </row>
        <row r="15">
          <cell r="B15" t="str">
            <v>2015</v>
          </cell>
          <cell r="C15">
            <v>2782</v>
          </cell>
        </row>
        <row r="16">
          <cell r="B16" t="str">
            <v>2016</v>
          </cell>
          <cell r="C16">
            <v>2810</v>
          </cell>
        </row>
        <row r="17">
          <cell r="B17" t="str">
            <v>2017</v>
          </cell>
          <cell r="C17">
            <v>2058</v>
          </cell>
        </row>
        <row r="18">
          <cell r="B18" t="str">
            <v>2018</v>
          </cell>
          <cell r="C18">
            <v>2550</v>
          </cell>
        </row>
        <row r="19">
          <cell r="B19" t="str">
            <v>2019</v>
          </cell>
          <cell r="C19">
            <v>1508</v>
          </cell>
        </row>
        <row r="20">
          <cell r="B20" t="str">
            <v>2020</v>
          </cell>
          <cell r="C20">
            <v>1333</v>
          </cell>
        </row>
        <row r="21">
          <cell r="B21" t="str">
            <v>2021</v>
          </cell>
          <cell r="C21">
            <v>1429</v>
          </cell>
        </row>
        <row r="22">
          <cell r="B22" t="str">
            <v>2022</v>
          </cell>
          <cell r="C22">
            <v>1630</v>
          </cell>
        </row>
        <row r="23">
          <cell r="B23" t="str">
            <v>2023</v>
          </cell>
          <cell r="C23">
            <v>112</v>
          </cell>
        </row>
      </sheetData>
      <sheetData sheetId="11">
        <row r="2">
          <cell r="B2" t="str">
            <v>Cuenta Pública</v>
          </cell>
        </row>
        <row r="3">
          <cell r="B3">
            <v>2002</v>
          </cell>
          <cell r="C3">
            <v>7</v>
          </cell>
        </row>
        <row r="4">
          <cell r="B4">
            <v>2003</v>
          </cell>
          <cell r="C4">
            <v>40</v>
          </cell>
        </row>
        <row r="5">
          <cell r="B5">
            <v>2004</v>
          </cell>
          <cell r="C5">
            <v>349</v>
          </cell>
        </row>
        <row r="6">
          <cell r="B6">
            <v>2005</v>
          </cell>
          <cell r="C6">
            <v>461</v>
          </cell>
        </row>
        <row r="7">
          <cell r="B7">
            <v>2006</v>
          </cell>
          <cell r="C7">
            <v>563</v>
          </cell>
        </row>
        <row r="8">
          <cell r="B8">
            <v>2007</v>
          </cell>
          <cell r="C8">
            <v>1631</v>
          </cell>
        </row>
        <row r="9">
          <cell r="B9">
            <v>2008</v>
          </cell>
          <cell r="C9">
            <v>1116</v>
          </cell>
        </row>
        <row r="10">
          <cell r="B10">
            <v>2009</v>
          </cell>
          <cell r="C10">
            <v>1385</v>
          </cell>
        </row>
        <row r="11">
          <cell r="B11">
            <v>2010</v>
          </cell>
          <cell r="C11">
            <v>1911</v>
          </cell>
        </row>
        <row r="12">
          <cell r="B12">
            <v>2011</v>
          </cell>
          <cell r="C12">
            <v>1652</v>
          </cell>
        </row>
        <row r="13">
          <cell r="B13">
            <v>2012</v>
          </cell>
          <cell r="C13">
            <v>1819</v>
          </cell>
        </row>
        <row r="14">
          <cell r="B14">
            <v>2013</v>
          </cell>
          <cell r="C14">
            <v>1361</v>
          </cell>
        </row>
        <row r="15">
          <cell r="B15">
            <v>2014</v>
          </cell>
          <cell r="C15">
            <v>2134</v>
          </cell>
        </row>
        <row r="16">
          <cell r="B16">
            <v>2015</v>
          </cell>
          <cell r="C16">
            <v>2715</v>
          </cell>
        </row>
        <row r="17">
          <cell r="B17">
            <v>2016</v>
          </cell>
          <cell r="C17">
            <v>2560</v>
          </cell>
        </row>
        <row r="18">
          <cell r="B18">
            <v>2017</v>
          </cell>
          <cell r="C18">
            <v>2792</v>
          </cell>
        </row>
        <row r="19">
          <cell r="B19">
            <v>2018</v>
          </cell>
          <cell r="C19">
            <v>2462</v>
          </cell>
        </row>
        <row r="20">
          <cell r="B20">
            <v>2019</v>
          </cell>
          <cell r="C20">
            <v>1587</v>
          </cell>
        </row>
        <row r="21">
          <cell r="B21">
            <v>2020</v>
          </cell>
          <cell r="C21">
            <v>1484</v>
          </cell>
        </row>
        <row r="22">
          <cell r="B22">
            <v>2021</v>
          </cell>
          <cell r="C22">
            <v>1564</v>
          </cell>
        </row>
        <row r="23">
          <cell r="B23">
            <v>2022</v>
          </cell>
          <cell r="C23">
            <v>1730</v>
          </cell>
        </row>
        <row r="24">
          <cell r="B24">
            <v>2022</v>
          </cell>
          <cell r="C24">
            <v>94</v>
          </cell>
        </row>
      </sheetData>
      <sheetData sheetId="12">
        <row r="1">
          <cell r="B1" t="str">
            <v>Cuenta Pública</v>
          </cell>
        </row>
        <row r="2">
          <cell r="B2">
            <v>2002</v>
          </cell>
          <cell r="C2">
            <v>14</v>
          </cell>
        </row>
        <row r="3">
          <cell r="B3">
            <v>2003</v>
          </cell>
          <cell r="C3">
            <v>34</v>
          </cell>
        </row>
        <row r="4">
          <cell r="B4">
            <v>2004</v>
          </cell>
          <cell r="C4">
            <v>70</v>
          </cell>
        </row>
        <row r="5">
          <cell r="B5">
            <v>2005</v>
          </cell>
          <cell r="C5">
            <v>62</v>
          </cell>
        </row>
        <row r="6">
          <cell r="B6">
            <v>2006</v>
          </cell>
          <cell r="C6">
            <v>85</v>
          </cell>
        </row>
        <row r="7">
          <cell r="B7">
            <v>2007</v>
          </cell>
          <cell r="C7">
            <v>286</v>
          </cell>
        </row>
        <row r="8">
          <cell r="B8">
            <v>2008</v>
          </cell>
          <cell r="C8">
            <v>226</v>
          </cell>
        </row>
        <row r="9">
          <cell r="B9">
            <v>2009</v>
          </cell>
          <cell r="C9">
            <v>226</v>
          </cell>
        </row>
        <row r="10">
          <cell r="B10">
            <v>2010</v>
          </cell>
          <cell r="C10">
            <v>414</v>
          </cell>
        </row>
        <row r="11">
          <cell r="B11">
            <v>2011</v>
          </cell>
          <cell r="C11">
            <v>381</v>
          </cell>
        </row>
        <row r="12">
          <cell r="B12">
            <v>2012</v>
          </cell>
          <cell r="C12">
            <v>476</v>
          </cell>
        </row>
        <row r="13">
          <cell r="B13">
            <v>2013</v>
          </cell>
          <cell r="C13">
            <v>633</v>
          </cell>
        </row>
        <row r="14">
          <cell r="B14">
            <v>2014</v>
          </cell>
          <cell r="C14">
            <v>799</v>
          </cell>
        </row>
        <row r="15">
          <cell r="B15">
            <v>2015</v>
          </cell>
          <cell r="C15">
            <v>1077</v>
          </cell>
        </row>
        <row r="16">
          <cell r="B16">
            <v>2016</v>
          </cell>
          <cell r="C16">
            <v>1</v>
          </cell>
        </row>
      </sheetData>
      <sheetData sheetId="13">
        <row r="1">
          <cell r="B1" t="str">
            <v>Cuenta Pública</v>
          </cell>
        </row>
        <row r="2">
          <cell r="B2">
            <v>2003</v>
          </cell>
          <cell r="C2">
            <v>1</v>
          </cell>
        </row>
        <row r="3">
          <cell r="B3">
            <v>2004</v>
          </cell>
          <cell r="C3">
            <v>4</v>
          </cell>
        </row>
        <row r="4">
          <cell r="B4">
            <v>2005</v>
          </cell>
          <cell r="C4">
            <v>3</v>
          </cell>
        </row>
        <row r="5">
          <cell r="B5">
            <v>2006</v>
          </cell>
          <cell r="C5">
            <v>4</v>
          </cell>
        </row>
        <row r="6">
          <cell r="B6">
            <v>2007</v>
          </cell>
          <cell r="C6">
            <v>2</v>
          </cell>
        </row>
        <row r="7">
          <cell r="B7">
            <v>2008</v>
          </cell>
          <cell r="C7">
            <v>11</v>
          </cell>
        </row>
        <row r="8">
          <cell r="B8">
            <v>2009</v>
          </cell>
          <cell r="C8">
            <v>88</v>
          </cell>
        </row>
        <row r="9">
          <cell r="B9">
            <v>2010</v>
          </cell>
          <cell r="C9">
            <v>140</v>
          </cell>
        </row>
        <row r="10">
          <cell r="B10">
            <v>2011</v>
          </cell>
          <cell r="C10">
            <v>147</v>
          </cell>
        </row>
        <row r="11">
          <cell r="B11">
            <v>2012</v>
          </cell>
          <cell r="C11">
            <v>221</v>
          </cell>
        </row>
        <row r="12">
          <cell r="B12">
            <v>2013</v>
          </cell>
          <cell r="C12">
            <v>103</v>
          </cell>
        </row>
        <row r="13">
          <cell r="B13">
            <v>2014</v>
          </cell>
          <cell r="C13">
            <v>94</v>
          </cell>
        </row>
        <row r="14">
          <cell r="B14">
            <v>2015</v>
          </cell>
          <cell r="C14">
            <v>62</v>
          </cell>
        </row>
        <row r="15">
          <cell r="B15">
            <v>2016</v>
          </cell>
          <cell r="C15">
            <v>48</v>
          </cell>
        </row>
        <row r="16">
          <cell r="B16">
            <v>2017</v>
          </cell>
          <cell r="C16">
            <v>90</v>
          </cell>
        </row>
        <row r="17">
          <cell r="B17">
            <v>2018</v>
          </cell>
          <cell r="C17">
            <v>43</v>
          </cell>
        </row>
        <row r="18">
          <cell r="B18">
            <v>2019</v>
          </cell>
          <cell r="C18">
            <v>7</v>
          </cell>
        </row>
        <row r="19">
          <cell r="B19">
            <v>2020</v>
          </cell>
          <cell r="C19">
            <v>15</v>
          </cell>
        </row>
        <row r="20">
          <cell r="B20" t="str">
            <v>SIMULACIÓN DE REINTEGRO</v>
          </cell>
          <cell r="C20">
            <v>85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E23234-C453-4E1C-86D9-F89D1F57F968}" name="Tabla3" displayName="Tabla3" ref="B2:E34" totalsRowShown="0" headerRowDxfId="367" dataDxfId="366" headerRowBorderDxfId="364" tableBorderDxfId="365" totalsRowBorderDxfId="363" headerRowCellStyle="Neutral">
  <tableColumns count="4">
    <tableColumn id="1" xr3:uid="{2BBA6687-B388-41C5-A9C7-7D4792FCFEB8}" name="SECTOR" dataDxfId="362"/>
    <tableColumn id="2" xr3:uid="{508C0561-E430-41D7-B132-BAD6C0C1E1F2}" name="AUDITORÍAS" dataDxfId="361"/>
    <tableColumn id="3" xr3:uid="{D811F0AA-46D2-42D9-82F9-6972073ADB27}" name="PORCENTAJE" dataDxfId="360"/>
    <tableColumn id="4" xr3:uid="{25267EA8-AFBC-490D-99CB-EF953771C2A2}" name="PORCENTAJE ACUMULADO" dataDxfId="359"/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896009-BC5F-4FBA-AEE7-D13419095B31}" name="Tabla23" displayName="Tabla23" ref="B3:F10" totalsRowShown="0" headerRowDxfId="194" dataDxfId="193" headerRowBorderDxfId="191" tableBorderDxfId="192" totalsRowBorderDxfId="190" headerRowCellStyle="Neutral">
  <tableColumns count="5">
    <tableColumn id="1" xr3:uid="{875954B2-9C7F-46A4-A9C6-B09CE4CDB1F0}" name="Cuenta Pública" dataDxfId="189" dataCellStyle="Neutral"/>
    <tableColumn id="2" xr3:uid="{4F2C9D8B-7657-48EE-8EE2-345ED0812816}" name="En proceso _x000a_de Notificación" dataDxfId="188"/>
    <tableColumn id="3" xr3:uid="{5210D4B2-CA78-4157-A5C9-BFD9E97E0EE7}" name="En Seguimiento" dataDxfId="187"/>
    <tableColumn id="4" xr3:uid="{AEF86409-8475-4BE3-9A7A-6AA32F75EA88}" name="Concluidas" dataDxfId="186"/>
    <tableColumn id="5" xr3:uid="{F04D0B29-EE84-481C-B549-AA849CDA70CA}" name="Total" dataDxfId="185"/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A3BB3A2-797E-4F3B-BE95-F8256B2FB520}" name="Tabla22" displayName="Tabla22" ref="C4:H34" totalsRowShown="0" headerRowDxfId="184" dataDxfId="183" headerRowBorderDxfId="181" tableBorderDxfId="182" totalsRowBorderDxfId="180" headerRowCellStyle="Neutral">
  <tableColumns count="6">
    <tableColumn id="1" xr3:uid="{3CB874F8-F45F-47B8-AFB9-B46E75A04563}" name="2002" dataDxfId="179"/>
    <tableColumn id="2" xr3:uid="{E022D08C-A146-43FA-A878-BDE0788CD69F}" name="2003" dataDxfId="178"/>
    <tableColumn id="3" xr3:uid="{23CF1EBE-DD10-498B-AAB1-2D61561B6AD1}" name="2004" dataDxfId="177"/>
    <tableColumn id="4" xr3:uid="{7CF738DB-6C7B-4B4E-A735-0E2E37D9B88E}" name="2005" dataDxfId="176"/>
    <tableColumn id="5" xr3:uid="{BF10FC93-AB26-423D-8863-1B2DECDE5CA5}" name="2006" dataDxfId="175"/>
    <tableColumn id="6" xr3:uid="{87608D8C-8C74-44AF-8E79-32F576ECF257}" name="2007" dataDxfId="174"/>
  </tableColumns>
  <tableStyleInfo name="TableStyleMedium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3E8D735-A90B-4594-A342-C9F18A87AD79}" name="Tabla26" displayName="Tabla26" ref="A2:E25" totalsRowShown="0" headerRowDxfId="173" dataDxfId="172" headerRowBorderDxfId="170" tableBorderDxfId="171" totalsRowBorderDxfId="169" headerRowCellStyle="Neutral">
  <tableColumns count="5">
    <tableColumn id="1" xr3:uid="{F64E8C2E-02B9-43AD-9E36-A7DF173BF373}" name="Cuenta Pública" dataDxfId="168"/>
    <tableColumn id="2" xr3:uid="{398C4C67-00F0-4013-871D-FAF16EA55B32}" name="En proceso _x000a_de Notificación" dataDxfId="167"/>
    <tableColumn id="3" xr3:uid="{11604ECB-BCB8-4615-B125-4F2F7BA18D22}" name="En Seguimiento" dataDxfId="166"/>
    <tableColumn id="4" xr3:uid="{C852B2E1-8DB1-465B-8EAC-0AAF5C401F7B}" name="Concluidas" dataDxfId="165"/>
    <tableColumn id="5" xr3:uid="{9FA2A957-DBC2-4E3B-9060-24DA9F3E0EB4}" name="Total" dataDxfId="164"/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CD238EA-163F-4B56-ACB8-EA1CB2C5A728}" name="Tabla25" displayName="Tabla25" ref="C4:X9" totalsRowShown="0" headerRowDxfId="163" dataDxfId="162" headerRowBorderDxfId="160" tableBorderDxfId="161" totalsRowBorderDxfId="159" headerRowCellStyle="Neutral">
  <tableColumns count="22">
    <tableColumn id="1" xr3:uid="{576B8A49-F90D-422B-9698-7912FAF21D3B}" name="2002" dataDxfId="158"/>
    <tableColumn id="2" xr3:uid="{D1B3FF3B-EF42-49E5-98D4-6CAB601B37E0}" name="2003" dataDxfId="157"/>
    <tableColumn id="3" xr3:uid="{E10A9305-9568-4BA9-B096-D376879EFE87}" name="2004" dataDxfId="156"/>
    <tableColumn id="4" xr3:uid="{C3D19DD8-A20C-47F1-B77D-12193F12473E}" name="2005" dataDxfId="155"/>
    <tableColumn id="5" xr3:uid="{649F7212-722F-4587-BEFC-1F0D2000BC66}" name="2006" dataDxfId="154"/>
    <tableColumn id="6" xr3:uid="{E19915C2-802F-4AAE-87B8-D84DDA057FEB}" name="2007" dataDxfId="153"/>
    <tableColumn id="7" xr3:uid="{6BE89E4A-D962-4960-9E0E-81B978A19E1A}" name="2008" dataDxfId="152"/>
    <tableColumn id="8" xr3:uid="{3AA0582D-4F19-4C27-8978-36010E3CBB6B}" name="2009" dataDxfId="151"/>
    <tableColumn id="9" xr3:uid="{64B11085-FC69-4D11-BC28-2F0308BA75F8}" name="2010" dataDxfId="150"/>
    <tableColumn id="10" xr3:uid="{6FE9CEFA-32AC-4F26-83F6-F0574BBCA4E1}" name="2011" dataDxfId="149"/>
    <tableColumn id="11" xr3:uid="{E78ED06C-EE23-4A2E-AAFD-B9944B79CECB}" name="2012" dataDxfId="148"/>
    <tableColumn id="12" xr3:uid="{63623388-AE0D-4C72-85B8-9FAB3B0255CD}" name="2013" dataDxfId="147"/>
    <tableColumn id="13" xr3:uid="{94F2C3C6-45A7-4CF4-9B1B-65C5142C657C}" name="2014" dataDxfId="146"/>
    <tableColumn id="14" xr3:uid="{96F602A6-A1F8-4938-A4AD-D8A4C2247272}" name="2015" dataDxfId="145"/>
    <tableColumn id="15" xr3:uid="{6E2D63DE-F285-4ACF-BB48-5AA5F1AB5A22}" name="2016" dataDxfId="144"/>
    <tableColumn id="16" xr3:uid="{44155A14-9334-4199-A6F4-125212C0C7E9}" name="2017" dataDxfId="143"/>
    <tableColumn id="17" xr3:uid="{7287C07C-891E-461D-B739-7C64AA690B2D}" name="2018" dataDxfId="142"/>
    <tableColumn id="18" xr3:uid="{D284BB38-EDB7-4FE7-9651-DBBB2778F86C}" name="2019" dataDxfId="141"/>
    <tableColumn id="19" xr3:uid="{C85064D6-B8FF-4AE3-B595-BD19FC6D91DE}" name="2020" dataDxfId="140"/>
    <tableColumn id="20" xr3:uid="{73B8D158-E65B-4B38-BBFA-BC0EC0CBA4A1}" name="2021" dataDxfId="139"/>
    <tableColumn id="21" xr3:uid="{AD30AFBE-829A-441F-84A6-FA2101A873D5}" name="2022" dataDxfId="138"/>
    <tableColumn id="22" xr3:uid="{FCC93C5A-4948-4002-A790-FF2DE07BF593}" name="2023" dataDxfId="137"/>
  </tableColumns>
  <tableStyleInfo name="TableStyleMedium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CC8BC3C-89A9-4F5F-B54D-529618809458}" name="Tabla28" displayName="Tabla28" ref="B3:F26" totalsRowShown="0" headerRowDxfId="136" dataDxfId="135" headerRowBorderDxfId="133" tableBorderDxfId="134" totalsRowBorderDxfId="132" headerRowCellStyle="Neutral">
  <tableColumns count="5">
    <tableColumn id="1" xr3:uid="{378FB753-BFB4-4535-9C78-DBF49363585C}" name="Cuenta Pública" dataDxfId="131"/>
    <tableColumn id="2" xr3:uid="{6584F19D-DD73-4EE9-85D7-ADA060165229}" name="En proceso _x000a_de Notificación" dataDxfId="130"/>
    <tableColumn id="3" xr3:uid="{070A4DCD-C554-465C-BB29-C58FEB4018B5}" name="En Seguimiento" dataDxfId="129"/>
    <tableColumn id="4" xr3:uid="{320F6678-70DB-4BE3-B5F1-57C0161E09FD}" name="Concluidas" dataDxfId="128"/>
    <tableColumn id="5" xr3:uid="{DF337706-356E-4155-9E1B-5BA528963373}" name="Total" dataDxfId="127">
      <calculatedColumnFormula>SUM(Tabla28[[#This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FB48DB0-57CB-4C1B-B024-B65CAD3FFECF}" name="Tabla40" displayName="Tabla40" ref="C4:X32" totalsRowShown="0" headerRowDxfId="126" dataDxfId="125" headerRowBorderDxfId="123" tableBorderDxfId="124" totalsRowBorderDxfId="122" headerRowCellStyle="Neutral">
  <tableColumns count="22">
    <tableColumn id="1" xr3:uid="{06156AB3-1762-4C63-A845-FFC6E0BD777B}" name="2002" dataDxfId="121"/>
    <tableColumn id="2" xr3:uid="{5705A10E-8D3B-433A-8857-7BA62DCB71A2}" name="2003" dataDxfId="120"/>
    <tableColumn id="3" xr3:uid="{51E69AEE-07D2-429D-84CA-AA2BBD6448BD}" name="2004" dataDxfId="119"/>
    <tableColumn id="4" xr3:uid="{DFBD33FD-C8AA-4119-BE81-5C774BB532A6}" name="2005" dataDxfId="118"/>
    <tableColumn id="5" xr3:uid="{B0E29A67-88D2-444B-AB15-782F66D7FF8C}" name="2006" dataDxfId="117"/>
    <tableColumn id="6" xr3:uid="{54B6FF7C-7BBB-46D4-9D8B-7ED069F9B3D5}" name="2007" dataDxfId="116"/>
    <tableColumn id="7" xr3:uid="{D6481282-433E-406D-BEAD-BF54E7E5020C}" name="2008" dataDxfId="115"/>
    <tableColumn id="8" xr3:uid="{33B23FEE-2694-4E7F-B882-EB21C3689A50}" name="2009" dataDxfId="114"/>
    <tableColumn id="9" xr3:uid="{0C5A864B-4C6C-4133-9CBA-587C9F8358B6}" name="2010" dataDxfId="113"/>
    <tableColumn id="10" xr3:uid="{6136BDCC-4D54-4112-A42D-934BC7D8F44B}" name="2011" dataDxfId="112"/>
    <tableColumn id="11" xr3:uid="{354AEBB7-458C-41E6-AC20-FFEABD727C45}" name="2012" dataDxfId="111"/>
    <tableColumn id="12" xr3:uid="{789EB8AB-6579-49B8-BB53-606B75341BA9}" name="2013" dataDxfId="110"/>
    <tableColumn id="13" xr3:uid="{9953DC11-85E0-4235-8F69-BD20F0729459}" name="2014" dataDxfId="109"/>
    <tableColumn id="14" xr3:uid="{A942C0BE-E0E0-4FA1-BFED-6363FA4C8D36}" name="2015" dataDxfId="108"/>
    <tableColumn id="15" xr3:uid="{3B7035C8-961A-4455-A029-487DAD2B138E}" name="2016" dataDxfId="107"/>
    <tableColumn id="16" xr3:uid="{B7F15EEE-DBBD-49E2-A854-B08F32802DE4}" name="2017" dataDxfId="106"/>
    <tableColumn id="17" xr3:uid="{ABFB5E85-5473-42C0-A832-3530A72AFF53}" name="2018" dataDxfId="105"/>
    <tableColumn id="18" xr3:uid="{7EDD8816-8495-49E5-BC69-A9B8BEAD7D5D}" name="2019" dataDxfId="104"/>
    <tableColumn id="19" xr3:uid="{65D73594-B04B-4DCB-8554-979B684D02E6}" name="2020" dataDxfId="103"/>
    <tableColumn id="20" xr3:uid="{7C2E93D6-812B-4E42-9026-DF250EE36D14}" name="2021" dataDxfId="102"/>
    <tableColumn id="21" xr3:uid="{77C0C782-F12D-4156-9E2E-4B12AF734E05}" name="2022" dataDxfId="101"/>
    <tableColumn id="22" xr3:uid="{ED5A8620-8A39-4935-85EB-578BF8403850}" name="2023" dataDxfId="100"/>
  </tableColumns>
  <tableStyleInfo name="TableStyleMedium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0C1714-1201-4ACF-A38D-CEEED605C79A}" name="Tabla30" displayName="Tabla30" ref="B3:F26" totalsRowShown="0" headerRowDxfId="99" dataDxfId="98" headerRowBorderDxfId="96" tableBorderDxfId="97" totalsRowBorderDxfId="95" headerRowCellStyle="Neutral">
  <tableColumns count="5">
    <tableColumn id="1" xr3:uid="{8E54CB7B-5F26-4839-B32F-3E422786D16D}" name="Cuenta Pública" dataDxfId="94"/>
    <tableColumn id="2" xr3:uid="{3330D6B3-7F7D-4473-97BB-B800A80FD185}" name="En proceso _x000a_de Notificación" dataDxfId="93"/>
    <tableColumn id="3" xr3:uid="{A43D2C3E-3D03-4A19-A3D5-33F6693919C2}" name="En Seguimiento" dataDxfId="92"/>
    <tableColumn id="4" xr3:uid="{DF0DDFA8-F3EB-4C05-AFB6-92802BE3B77A}" name="Concluidas" dataDxfId="91"/>
    <tableColumn id="5" xr3:uid="{A9E51CB3-EF98-439E-A675-B793BEC69920}" name="Total" dataDxfId="90" dataCellStyle="Neutral">
      <calculatedColumnFormula>SUM(Tabla30[[#This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4234E99-94B8-4344-8994-6B1DC9DDC19E}" name="Tabla42" displayName="Tabla42" ref="C4:X34" totalsRowCount="1" headerRowDxfId="89" dataDxfId="88" totalsRowDxfId="87" headerRowBorderDxfId="85" tableBorderDxfId="86" totalsRowBorderDxfId="84" headerRowCellStyle="Neutral" totalsRowCellStyle="Neutral">
  <tableColumns count="22">
    <tableColumn id="1" xr3:uid="{318A93AC-C67A-4B33-AB16-986C91F448A7}" name="2002" totalsRowFunction="sum" dataDxfId="82" totalsRowDxfId="83"/>
    <tableColumn id="2" xr3:uid="{9DD26ABD-4AD1-4EA3-AE4D-5482E28C905F}" name="2003" totalsRowFunction="sum" dataDxfId="80" totalsRowDxfId="81"/>
    <tableColumn id="3" xr3:uid="{7F217409-9ACE-4DC6-9FF0-4C3C1ECAF181}" name="2004" totalsRowFunction="sum" dataDxfId="78" totalsRowDxfId="79"/>
    <tableColumn id="4" xr3:uid="{637EBEB2-D1DB-4B57-BA2B-D68E4A8C0BE9}" name="2005" totalsRowFunction="sum" dataDxfId="76" totalsRowDxfId="77"/>
    <tableColumn id="5" xr3:uid="{6238064C-2346-4699-8BE7-BE178E7CFDBA}" name="2006" totalsRowFunction="sum" dataDxfId="74" totalsRowDxfId="75"/>
    <tableColumn id="6" xr3:uid="{DC6C1A8D-FD19-4D73-8DE4-0EA37A71B706}" name="2007" totalsRowFunction="sum" dataDxfId="72" totalsRowDxfId="73"/>
    <tableColumn id="7" xr3:uid="{ABA9DE0A-4B3A-4103-A2DC-C22C0FF8C157}" name="2008" totalsRowFunction="sum" dataDxfId="70" totalsRowDxfId="71"/>
    <tableColumn id="8" xr3:uid="{4483A18F-E407-4B6E-94B3-F0FF5E2FE7FE}" name="2009" totalsRowFunction="sum" dataDxfId="68" totalsRowDxfId="69"/>
    <tableColumn id="9" xr3:uid="{C9F153B0-C83E-4CE9-9288-1FD20592FB44}" name="2010" totalsRowFunction="sum" dataDxfId="66" totalsRowDxfId="67"/>
    <tableColumn id="10" xr3:uid="{49CE50CD-5EEC-4B32-BA8F-CE8443E30B0E}" name="2011" totalsRowFunction="sum" dataDxfId="64" totalsRowDxfId="65"/>
    <tableColumn id="11" xr3:uid="{71E09EDD-3A2B-4C52-A603-644C0FF2D8D5}" name="2012" totalsRowFunction="sum" dataDxfId="62" totalsRowDxfId="63"/>
    <tableColumn id="12" xr3:uid="{AB854A9C-1D04-41AA-B5FD-5CBEA0966019}" name="2013" totalsRowFunction="sum" dataDxfId="60" totalsRowDxfId="61"/>
    <tableColumn id="13" xr3:uid="{B83E0796-091F-40BE-BE4C-1B21E4004342}" name="2014" totalsRowFunction="sum" dataDxfId="58" totalsRowDxfId="59"/>
    <tableColumn id="14" xr3:uid="{4429B736-025E-417A-8C55-7E80E5D8B9D1}" name="2015" totalsRowFunction="sum" dataDxfId="56" totalsRowDxfId="57"/>
    <tableColumn id="15" xr3:uid="{CF92590F-6FE1-4A48-A7E5-23542641D776}" name="2016" totalsRowFunction="sum" dataDxfId="54" totalsRowDxfId="55"/>
    <tableColumn id="16" xr3:uid="{E3930F3F-B553-4149-A609-5420DBEE3718}" name="2017" totalsRowFunction="sum" dataDxfId="52" totalsRowDxfId="53"/>
    <tableColumn id="17" xr3:uid="{CA927F0A-577C-40FF-8B33-21E9ACA2DA7A}" name="2018" totalsRowFunction="sum" dataDxfId="50" totalsRowDxfId="51"/>
    <tableColumn id="18" xr3:uid="{C9CDF76F-A45B-435D-A493-4A4AB96EE85D}" name="2019" totalsRowFunction="sum" dataDxfId="48" totalsRowDxfId="49"/>
    <tableColumn id="19" xr3:uid="{914961AF-D4F4-4B9F-A1DF-08F329F93A2C}" name="2020" totalsRowFunction="sum" dataDxfId="46" totalsRowDxfId="47"/>
    <tableColumn id="20" xr3:uid="{225688D7-9A08-417A-82C6-30EF88AC1254}" name="2021" totalsRowFunction="sum" dataDxfId="44" totalsRowDxfId="45"/>
    <tableColumn id="21" xr3:uid="{F7E235C4-475A-4F02-8F93-00DD173D2810}" name="2022" totalsRowFunction="sum" dataDxfId="42" totalsRowDxfId="43"/>
    <tableColumn id="22" xr3:uid="{DE526B82-C44C-48C7-ABE9-C90D63421501}" name="2023" totalsRowFunction="sum" dataDxfId="40" totalsRowDxfId="41"/>
  </tableColumns>
  <tableStyleInfo name="TableStyleMedium1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710EC62-A3F3-48BC-B4DD-921BE69D218C}" name="Tabla32" displayName="Tabla32" ref="B3:F26" totalsRowShown="0" headerRowDxfId="39" dataDxfId="38" headerRowBorderDxfId="36" tableBorderDxfId="37" totalsRowBorderDxfId="35" headerRowCellStyle="Neutral">
  <tableColumns count="5">
    <tableColumn id="1" xr3:uid="{161A210B-1E70-4B1C-A7DE-D82138DAC823}" name="Cuenta Pública" dataDxfId="34" dataCellStyle="Neutral"/>
    <tableColumn id="2" xr3:uid="{0D5A1837-1FB6-4699-A1BD-478ABDD6AB25}" name="En proceso _x000a_de Notificación" dataDxfId="33"/>
    <tableColumn id="3" xr3:uid="{5EA1E79C-3D0C-4F3A-AFBA-29467AD51FCD}" name="En Seguimiento" dataDxfId="32"/>
    <tableColumn id="4" xr3:uid="{306E3E8B-E224-4020-9BD9-299D487BA6DC}" name="Concluidas" dataDxfId="31"/>
    <tableColumn id="5" xr3:uid="{68049383-A0F9-4D0F-8071-566DF6E74A78}" name="Total" dataDxfId="30" dataCellStyle="Neutral"/>
  </tableColumns>
  <tableStyleInfo name="TableStyleMedium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19E4159-A618-49AD-8A19-093B069799D6}" name="Tabla35" displayName="Tabla35" ref="A3:E19" totalsRowShown="0" headerRowDxfId="29" dataDxfId="28" headerRowBorderDxfId="26" tableBorderDxfId="27" totalsRowBorderDxfId="25" headerRowCellStyle="Neutral">
  <tableColumns count="5">
    <tableColumn id="1" xr3:uid="{666D1CF4-BEBD-4EB5-A766-E73148C429C9}" name="Cuenta Pública" dataDxfId="24"/>
    <tableColumn id="2" xr3:uid="{8072AE0B-7410-441C-8C2F-B4A56C5FE70C}" name="En proceso _x000a_de Notificación" dataDxfId="23"/>
    <tableColumn id="3" xr3:uid="{3CD5DED3-59C3-4FE4-96F6-E61A99511C96}" name="En Seguimiento" dataDxfId="22"/>
    <tableColumn id="4" xr3:uid="{43BBB886-FF7E-48FA-B84D-DC51A679A24E}" name="Concluidas" dataDxfId="21"/>
    <tableColumn id="5" xr3:uid="{19F6C835-CB39-4E2A-9853-759F22388307}" name="Total" dataDxfId="20">
      <calculatedColumnFormula>SUM(Tabla35[[#This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27E79FB-8BEF-4F67-A6D0-2E0D6F82C6AB}" name="Tabla9" displayName="Tabla9" ref="C4:X35" totalsRowShown="0" headerRowDxfId="358" dataDxfId="357" headerRowCellStyle="Neutral">
  <tableColumns count="22">
    <tableColumn id="1" xr3:uid="{730AAF42-176C-4CC1-9514-B59E18DF18E5}" name="2002" dataDxfId="356"/>
    <tableColumn id="2" xr3:uid="{E97ACDD5-D22D-4321-BA4F-7D6F5A04F801}" name="2003" dataDxfId="355"/>
    <tableColumn id="3" xr3:uid="{AD945FA4-FDE2-45E1-B0B0-5368C08D09A6}" name="2004" dataDxfId="354"/>
    <tableColumn id="4" xr3:uid="{611D06E1-0852-48DD-8D7B-61EF6518C45A}" name="2005" dataDxfId="353"/>
    <tableColumn id="5" xr3:uid="{38F51748-4841-4987-8A1F-8EAC52914560}" name="2006" dataDxfId="352"/>
    <tableColumn id="6" xr3:uid="{655AC832-7782-4CCA-B3B6-2A2E55DB0AF1}" name="2007" dataDxfId="351"/>
    <tableColumn id="7" xr3:uid="{896EB4B1-254A-4CA1-84DB-E54A55BB04AB}" name="2008" dataDxfId="350"/>
    <tableColumn id="8" xr3:uid="{EDE99983-A600-4709-97FA-663C9204FCE0}" name="2009" dataDxfId="349"/>
    <tableColumn id="9" xr3:uid="{F0CD48C7-5926-462B-8F12-A89D57ED2F50}" name="2010" dataDxfId="348"/>
    <tableColumn id="10" xr3:uid="{D932B428-5038-4311-BA6A-067202E311A4}" name="2011" dataDxfId="347"/>
    <tableColumn id="11" xr3:uid="{CB27D98D-EC74-47E4-B977-2C7A0163FCDF}" name="2012" dataDxfId="346"/>
    <tableColumn id="12" xr3:uid="{4A4CBCF9-F4BF-48C5-9310-AA6136AAE373}" name="2013" dataDxfId="345"/>
    <tableColumn id="13" xr3:uid="{C17B6A9C-5CE7-4E1E-92C7-9F6F72B17C88}" name="2014" dataDxfId="344"/>
    <tableColumn id="14" xr3:uid="{5D57CA9B-0CCE-4B28-8264-FC66A01AA525}" name="2015" dataDxfId="343"/>
    <tableColumn id="15" xr3:uid="{89153E0D-91D5-407A-8812-1A3BE60FED0D}" name="2016" dataDxfId="342"/>
    <tableColumn id="16" xr3:uid="{965388C4-7897-49C8-86C4-2B928F7C1F6C}" name="2017" dataDxfId="341"/>
    <tableColumn id="17" xr3:uid="{3FECC933-A90E-4973-A5D9-96644A5F0B46}" name="2018" dataDxfId="340"/>
    <tableColumn id="18" xr3:uid="{6CBAE79C-47A4-466E-B785-06AEE867DDCD}" name="2019" dataDxfId="339"/>
    <tableColumn id="19" xr3:uid="{CB563C7C-D878-460B-8CF7-1856BD0AA0E8}" name="2020" dataDxfId="338"/>
    <tableColumn id="20" xr3:uid="{D2ACF443-A630-47B0-9546-25A14F85B23F}" name="2021" dataDxfId="337"/>
    <tableColumn id="21" xr3:uid="{17125A74-5B37-4243-8BDB-0F942E4B060F}" name="2022" dataDxfId="336"/>
    <tableColumn id="22" xr3:uid="{EEA9CA6C-AB32-4A43-BC83-6C76A862B52B}" name="2023" dataDxfId="335"/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F50E504-8E06-4E13-B0A2-623A6421BA7F}" name="Tabla34" displayName="Tabla34" ref="C3:Q31" totalsRowShown="0" headerRowDxfId="19" dataDxfId="18" headerRowBorderDxfId="16" tableBorderDxfId="17" totalsRowBorderDxfId="15" headerRowCellStyle="Neutral">
  <tableColumns count="15">
    <tableColumn id="1" xr3:uid="{78AD0377-533F-4402-AA3A-15B8E9658E8F}" name="2002" dataDxfId="14"/>
    <tableColumn id="2" xr3:uid="{9E4DB965-CF8E-4D3C-BCDB-C67852764DD6}" name="2003" dataDxfId="13"/>
    <tableColumn id="3" xr3:uid="{2C8DE41D-BA1D-4214-830E-F33E5DF16D0C}" name="2004" dataDxfId="12"/>
    <tableColumn id="4" xr3:uid="{1CA72648-595A-4DC0-859D-7519B88E0DBC}" name="2005" dataDxfId="11"/>
    <tableColumn id="5" xr3:uid="{29DBAF90-6E1F-46E0-B23C-63780A718CB2}" name="2006" dataDxfId="10"/>
    <tableColumn id="6" xr3:uid="{CA0878A2-8C38-463E-ABC0-F8CD393501C6}" name="2007" dataDxfId="9"/>
    <tableColumn id="7" xr3:uid="{45D5BA4B-5DE4-4CF5-B6B2-92CBD46EA250}" name="2008" dataDxfId="8"/>
    <tableColumn id="8" xr3:uid="{9A8E448D-1EE8-4244-A0E4-B3B3370E40C9}" name="2009" dataDxfId="7"/>
    <tableColumn id="9" xr3:uid="{EB066B48-B649-4E6A-AF3B-6EA16EF146A3}" name="2010" dataDxfId="6"/>
    <tableColumn id="10" xr3:uid="{B455DDB8-C5D6-4EA9-BB69-3267C2A0E80B}" name="2011" dataDxfId="5"/>
    <tableColumn id="11" xr3:uid="{851B6492-B486-44C9-824B-11E200EE3135}" name="2012" dataDxfId="4"/>
    <tableColumn id="12" xr3:uid="{4968769B-4AB6-4B64-91E6-E31E810B4544}" name="2013" dataDxfId="3"/>
    <tableColumn id="13" xr3:uid="{D8CCF3D1-D95D-4B0E-AFF1-3B71A9B8713B}" name="2014" dataDxfId="2"/>
    <tableColumn id="14" xr3:uid="{D7757AD5-0588-4B75-88DF-08F19C42F461}" name="2015" dataDxfId="1"/>
    <tableColumn id="15" xr3:uid="{52F24AF0-BCA3-46D9-9159-BF4C0E9CE4C1}" name="2016" dataDxfId="0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14B258-AB7A-4F11-A456-CC722A048451}" name="Tabla10" displayName="Tabla10" ref="B3:I26" totalsRowShown="0" headerRowDxfId="334" dataDxfId="333" headerRowBorderDxfId="331" tableBorderDxfId="332" totalsRowBorderDxfId="330" headerRowCellStyle="Neutral">
  <tableColumns count="8">
    <tableColumn id="1" xr3:uid="{24CB59BD-4F55-42F5-B51C-29FB92A6D8DA}" name="Cuenta Pública" dataDxfId="329"/>
    <tableColumn id="2" xr3:uid="{C15DED2F-CA0E-41D8-AD5B-36EC59A50D96}" name="Auditorías" dataDxfId="328"/>
    <tableColumn id="3" xr3:uid="{B6B5CC11-0EBC-4692-9784-8D13AC5F0044}" name="Observaciones" dataDxfId="327"/>
    <tableColumn id="4" xr3:uid="{B2FAE471-55C8-42D8-B38A-3DF902E685D1}" name="Observaciones por Auditoría" dataDxfId="326">
      <calculatedColumnFormula>Tabla10[[#This Row],[Observaciones]]/Tabla10[[#This Row],[Auditorías]]</calculatedColumnFormula>
    </tableColumn>
    <tableColumn id="5" xr3:uid="{17ACF9E6-B688-4F74-9F07-B97E9FFF8E8D}" name="Recomendaciones" dataDxfId="325"/>
    <tableColumn id="6" xr3:uid="{458560AD-88D3-41FA-8A15-45A6DBE45E9E}" name="Recomendaciones por Auditoría" dataDxfId="324">
      <calculatedColumnFormula>Tabla10[[#This Row],[Recomendaciones]]/Tabla10[[#This Row],[Auditorías]]</calculatedColumnFormula>
    </tableColumn>
    <tableColumn id="7" xr3:uid="{F5C80C3B-9CAA-4DEE-BC63-569E3A4BB935}" name="Acciones" dataDxfId="323"/>
    <tableColumn id="8" xr3:uid="{BDF0EEE0-1ECC-4276-9318-C2C9174B41D7}" name="Acciones _x000a_por Auditorías" dataDxfId="322">
      <calculatedColumnFormula>Tabla10[[#This Row],[Acciones]]/Tabla10[[#This Row],[Auditorías]]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DD3F52-C9C8-43F6-9AC3-BFB9215E3550}" name="Tabla11" displayName="Tabla11" ref="C4:X7" totalsRowShown="0" headerRowDxfId="321" dataDxfId="320" headerRowBorderDxfId="318" tableBorderDxfId="319" totalsRowBorderDxfId="317" headerRowCellStyle="Neutral">
  <tableColumns count="22">
    <tableColumn id="1" xr3:uid="{784BAEBC-E1B0-4DCC-B818-B95B864FD188}" name="2002" dataDxfId="316"/>
    <tableColumn id="2" xr3:uid="{6E9B764B-4B6F-41F1-BE7F-DE369E43A5EE}" name="2003" dataDxfId="315"/>
    <tableColumn id="3" xr3:uid="{E338AC0B-71CC-4265-BE30-E3C47860EBE2}" name="2004" dataDxfId="314"/>
    <tableColumn id="4" xr3:uid="{3AA2CFF4-B29E-4A60-B202-1931E6A9B96C}" name="2005" dataDxfId="313"/>
    <tableColumn id="5" xr3:uid="{26470614-2EF1-4832-8D23-32F44413F2D7}" name="2006" dataDxfId="312"/>
    <tableColumn id="6" xr3:uid="{1AD6132D-63EC-4913-A0D5-29C36AEB8594}" name="2007" dataDxfId="311"/>
    <tableColumn id="7" xr3:uid="{B45A63C7-3623-4E4E-A9B6-64F6DA4E2227}" name="2008" dataDxfId="310"/>
    <tableColumn id="8" xr3:uid="{1C420180-6AC9-4310-904D-50EEB730EEF6}" name="2009" dataDxfId="309"/>
    <tableColumn id="9" xr3:uid="{4379A1B5-E621-46C8-AB86-BB2700CFFFF9}" name="2010" dataDxfId="308"/>
    <tableColumn id="10" xr3:uid="{1A9316CF-02D5-4D02-A139-EA9946B1BA50}" name="2011" dataDxfId="307"/>
    <tableColumn id="11" xr3:uid="{A9F013E8-A6D7-48CF-BA68-52A9B794F374}" name="2012" dataDxfId="306"/>
    <tableColumn id="12" xr3:uid="{88731FA9-E649-484C-836A-60006DBE7DC3}" name="2013" dataDxfId="305"/>
    <tableColumn id="13" xr3:uid="{B88167FD-A25C-4342-824D-4526B1634BC7}" name="2014" dataDxfId="304"/>
    <tableColumn id="14" xr3:uid="{D65E9A3F-4DE5-47A8-8AA2-617611617CDE}" name="2015" dataDxfId="303"/>
    <tableColumn id="15" xr3:uid="{D7D3E7C2-4F1C-4C4E-870D-36A4F8149D54}" name="2016" dataDxfId="302"/>
    <tableColumn id="16" xr3:uid="{851126A7-F2A7-4D10-9D61-92FE9FF797B4}" name="2017" dataDxfId="301"/>
    <tableColumn id="17" xr3:uid="{7C25F4E7-E6C6-4A6E-B827-97E0B36E06D6}" name="2018" dataDxfId="300"/>
    <tableColumn id="18" xr3:uid="{99C205E4-AFC4-478D-BC2D-5D0F06026D64}" name="2019" dataDxfId="299"/>
    <tableColumn id="19" xr3:uid="{DDD8AEAB-D203-4E34-8A9B-0B9583B0923B}" name="2020" dataDxfId="298"/>
    <tableColumn id="20" xr3:uid="{F5A97F58-681B-4973-8432-F3DAC7D4543F}" name="2021" dataDxfId="297"/>
    <tableColumn id="21" xr3:uid="{1AF42C25-89EF-4493-878A-F126B99C4EE5}" name="2022" dataDxfId="296"/>
    <tableColumn id="22" xr3:uid="{93128A24-9DD5-4E7C-9DF5-9983F1CDF78B}" name="2023" dataDxfId="295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2D8824C-755A-4124-86C9-3255F26965D0}" name="Tabla12" displayName="Tabla12" ref="C4:X13" totalsRowShown="0" headerRowDxfId="294" dataDxfId="293" headerRowBorderDxfId="291" tableBorderDxfId="292" totalsRowBorderDxfId="290" headerRowCellStyle="Neutral">
  <tableColumns count="22">
    <tableColumn id="1" xr3:uid="{C5C03A07-5B8B-4D17-9F52-E2AD6D5547EE}" name="2002" dataDxfId="289"/>
    <tableColumn id="2" xr3:uid="{4895896D-B25A-4D92-9AD4-297301AD6C11}" name="2003" dataDxfId="288"/>
    <tableColumn id="3" xr3:uid="{C71AD835-E215-4DB5-BE5D-6B9BAB9E9B56}" name="2004" dataDxfId="287"/>
    <tableColumn id="4" xr3:uid="{AEFD8BDC-DF62-4BA7-B0B5-86246DE136E0}" name="2005" dataDxfId="286"/>
    <tableColumn id="5" xr3:uid="{727A1921-241C-4DD3-A1CD-82B973385175}" name="2006" dataDxfId="285"/>
    <tableColumn id="6" xr3:uid="{61053E28-8462-4FF4-A00A-0B692B1A860D}" name="2007" dataDxfId="284"/>
    <tableColumn id="7" xr3:uid="{A49060F0-FD93-4B5D-87C4-FBECE905DF97}" name="2008" dataDxfId="283"/>
    <tableColumn id="8" xr3:uid="{F11390A3-08D4-45E7-9303-8D0091BC517F}" name="2009" dataDxfId="282"/>
    <tableColumn id="9" xr3:uid="{2A92F0B3-0C1B-406D-942D-53DB2A4D3EF7}" name="2010" dataDxfId="281"/>
    <tableColumn id="10" xr3:uid="{3B14526F-D680-4093-816D-9874FEEE0ADA}" name="2011" dataDxfId="280"/>
    <tableColumn id="11" xr3:uid="{93A87254-8E8B-4C76-B7BA-B6C21B2726E8}" name="2012" dataDxfId="279"/>
    <tableColumn id="12" xr3:uid="{1E4C1B58-A1CB-4F67-B659-343FB25A2410}" name="2013" dataDxfId="278"/>
    <tableColumn id="13" xr3:uid="{C347BF62-2542-47CA-9BF6-013B569FEAEE}" name="2014" dataDxfId="277"/>
    <tableColumn id="14" xr3:uid="{92AEDF0D-582E-4B7A-8C83-DF563D283E96}" name="2015" dataDxfId="276"/>
    <tableColumn id="15" xr3:uid="{E9549A7E-D39F-45D5-A574-4609586F8924}" name="2016" dataDxfId="275"/>
    <tableColumn id="16" xr3:uid="{9FBC0AE3-4A72-4738-9CE0-3F774D7D3941}" name="2017" dataDxfId="274"/>
    <tableColumn id="17" xr3:uid="{83B59F5F-F226-494E-95CB-4C9550A8BBE3}" name="2018" dataDxfId="273"/>
    <tableColumn id="18" xr3:uid="{637D4204-9337-47E4-BA88-1247253C10CF}" name="2019" dataDxfId="272"/>
    <tableColumn id="19" xr3:uid="{3C93F43A-9601-4597-A9DD-5CD296D7E098}" name="2020" dataDxfId="271"/>
    <tableColumn id="20" xr3:uid="{14515DB1-C8A9-41B1-B007-E5CC704F146C}" name="2021" dataDxfId="270"/>
    <tableColumn id="21" xr3:uid="{A327D28F-4BA5-4F6F-BA8B-63BF44883BC2}" name="2022" dataDxfId="269"/>
    <tableColumn id="22" xr3:uid="{F8F33E55-7425-42C6-8F82-CD5564980904}" name="2023" dataDxfId="268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B05B62A-7997-4F28-9F5C-51F97E282DC9}" name="Tabla17" displayName="Tabla17" ref="B3:F26" totalsRowShown="0" headerRowDxfId="267" dataDxfId="266" headerRowBorderDxfId="264" tableBorderDxfId="265" totalsRowBorderDxfId="263" headerRowCellStyle="Neutral">
  <autoFilter ref="B3:F26" xr:uid="{DB05B62A-7997-4F28-9F5C-51F97E282DC9}"/>
  <tableColumns count="5">
    <tableColumn id="1" xr3:uid="{70C2BA91-4EBB-4713-82BA-4C8796A01BA0}" name="Cuenta Pública" dataDxfId="262"/>
    <tableColumn id="2" xr3:uid="{F3CAC1A5-ED79-4A01-80EF-75FC39D747C2}" name="En proceso _x000a_de Notificación" dataDxfId="261"/>
    <tableColumn id="3" xr3:uid="{E9CBD5A3-FE3E-46ED-ABD4-A2EF9E9226A4}" name="En Seguimiento" dataDxfId="260"/>
    <tableColumn id="4" xr3:uid="{27E01BAD-D5A0-4F59-8826-0FB90A359CFD}" name="Concluidas" dataDxfId="259"/>
    <tableColumn id="5" xr3:uid="{CDBF6DA3-5B5A-4652-A6F1-05BA89493483}" name="Total" dataDxfId="258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82E67B-B1C3-4328-8CC9-9C414A6B8AAF}" name="Tabla38" displayName="Tabla38" ref="B4:W34" totalsRowShown="0" headerRowDxfId="257" dataDxfId="256" headerRowBorderDxfId="254" tableBorderDxfId="255" totalsRowBorderDxfId="253" headerRowCellStyle="Neutral">
  <tableColumns count="22">
    <tableColumn id="1" xr3:uid="{4B7DAFEE-501D-44B2-ADA9-9BB9E736EE20}" name="2002" dataDxfId="252"/>
    <tableColumn id="2" xr3:uid="{54A4DCC7-1A44-4022-A491-79E3FCA0F59A}" name="2003" dataDxfId="251"/>
    <tableColumn id="3" xr3:uid="{AFDDED6B-B4FE-43CF-A666-34482A121EDD}" name="2004" dataDxfId="250"/>
    <tableColumn id="4" xr3:uid="{8036888B-88CC-481D-BFA3-0CD0F4FFF31E}" name="2005" dataDxfId="249"/>
    <tableColumn id="5" xr3:uid="{2B127A9D-7F9D-4302-8AA8-7C0D2DAE7E09}" name="2006" dataDxfId="248"/>
    <tableColumn id="6" xr3:uid="{214DEB93-1797-43E5-A5F6-DB2CD56740B9}" name="2007" dataDxfId="247"/>
    <tableColumn id="7" xr3:uid="{5243B8CF-B6E6-4940-8D38-BD33FFD0A3FA}" name="2008" dataDxfId="246"/>
    <tableColumn id="8" xr3:uid="{90135920-A22A-45B3-8188-8B76821A7117}" name="2009" dataDxfId="245"/>
    <tableColumn id="9" xr3:uid="{A3AC34F0-82B7-405D-B4C9-5227F2D99040}" name="2010" dataDxfId="244"/>
    <tableColumn id="10" xr3:uid="{B7734077-F923-4DBE-B655-EF2511B2B9BE}" name="2011" dataDxfId="243"/>
    <tableColumn id="11" xr3:uid="{F2E0D9C4-F58E-44B6-BB28-1574413C0712}" name="2012" dataDxfId="242"/>
    <tableColumn id="12" xr3:uid="{DEBC017A-A115-4BA6-BA4E-F289F6B3D8CA}" name="2013" dataDxfId="241"/>
    <tableColumn id="13" xr3:uid="{1ED166D9-8E39-442C-9881-CE21F5A5A6DE}" name="2014" dataDxfId="240"/>
    <tableColumn id="14" xr3:uid="{DAD85A84-231E-4D38-870A-44C01AD86108}" name="2015" dataDxfId="239"/>
    <tableColumn id="15" xr3:uid="{8C14D6BB-EF16-436A-99CE-6F7936BF65AF}" name="2016" dataDxfId="238"/>
    <tableColumn id="16" xr3:uid="{CD10E3D6-32B5-485E-83B9-C9EAA320394F}" name="2017" dataDxfId="237"/>
    <tableColumn id="17" xr3:uid="{ECC05C9E-389E-4BE5-8318-C2336E60D642}" name="2018" dataDxfId="236"/>
    <tableColumn id="18" xr3:uid="{7E9DD648-100F-4EE0-B2C0-77C62E9A619D}" name="2019" dataDxfId="235"/>
    <tableColumn id="19" xr3:uid="{F4CE3BC5-4343-408D-A556-862FD0F97A81}" name="2020" dataDxfId="234"/>
    <tableColumn id="20" xr3:uid="{36EADB60-3063-4013-BF45-1417BECD0147}" name="2021" dataDxfId="233"/>
    <tableColumn id="21" xr3:uid="{67C3E748-0C11-4005-B555-9A1C6BA902B9}" name="2022" dataDxfId="232"/>
    <tableColumn id="22" xr3:uid="{476CFA7B-8ED9-499C-88F6-23B8B4E23623}" name="2023" dataDxfId="231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73A1A4-8346-468B-BBE9-D768C61E8E2F}" name="Tabla19" displayName="Tabla19" ref="A2:E24" totalsRowShown="0" headerRowDxfId="230" dataDxfId="229" headerRowBorderDxfId="227" tableBorderDxfId="228" totalsRowBorderDxfId="226" headerRowCellStyle="Neutral">
  <autoFilter ref="A2:E24" xr:uid="{CD73A1A4-8346-468B-BBE9-D768C61E8E2F}"/>
  <tableColumns count="5">
    <tableColumn id="1" xr3:uid="{8B096295-9F7D-4277-8CCF-2C61EBA88B26}" name="Cuenta Pública" dataDxfId="225"/>
    <tableColumn id="2" xr3:uid="{BAB3F74D-777C-4B42-A11F-05A799BCC1C3}" name="En proceso _x000a_de Notificación" dataDxfId="224"/>
    <tableColumn id="3" xr3:uid="{B33C8C3A-6BF0-4FF4-B394-9EA1CB6FCD65}" name="En Seguimiento" dataDxfId="223"/>
    <tableColumn id="4" xr3:uid="{C5D33789-E2B7-497E-9754-8B1D8EE479CD}" name="Concluidas" dataDxfId="222"/>
    <tableColumn id="5" xr3:uid="{711A9C79-F2C0-4DA8-9D44-153981106157}" name="Total" dataDxfId="221" dataCellStyle="Neutral">
      <calculatedColumnFormula>SUM(Tabla19[[#This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CE969EA-EF93-411C-9A1B-024A089A59D6}" name="Tabla39" displayName="Tabla39" ref="C3:W33" totalsRowShown="0" headerRowDxfId="220" dataDxfId="219" headerRowBorderDxfId="217" tableBorderDxfId="218" totalsRowBorderDxfId="216" headerRowCellStyle="Neutral">
  <tableColumns count="21">
    <tableColumn id="1" xr3:uid="{D8A6BA88-1213-40B9-8872-CD920A60B2B5}" name="2002" dataDxfId="215"/>
    <tableColumn id="2" xr3:uid="{84806E40-45A5-4C85-AC45-3E622073884B}" name="2003" dataDxfId="214"/>
    <tableColumn id="3" xr3:uid="{9C30C560-BDA4-4EA6-84E5-3AEEBE4894C7}" name="2004" dataDxfId="213"/>
    <tableColumn id="4" xr3:uid="{46FD95C9-5157-4AEE-A091-74D7FC47065C}" name="2005" dataDxfId="212"/>
    <tableColumn id="5" xr3:uid="{38FCE290-CDC2-4708-BA2F-3FFB01A0FDA8}" name="2006" dataDxfId="211"/>
    <tableColumn id="6" xr3:uid="{69CE9768-DF69-4D2B-AAFA-62772D7378CC}" name="2007" dataDxfId="210"/>
    <tableColumn id="7" xr3:uid="{B2EDE35C-6F54-4329-B153-50CC9577CE18}" name="2008" dataDxfId="209"/>
    <tableColumn id="8" xr3:uid="{BCE11141-D588-49DE-99DE-9377E8CAB20B}" name="2009" dataDxfId="208"/>
    <tableColumn id="9" xr3:uid="{2F73F41F-6E98-4F80-AA91-95CBAF371D43}" name="2010" dataDxfId="207"/>
    <tableColumn id="10" xr3:uid="{0887090E-CC81-4CE3-B90D-43944BF278D5}" name="2011" dataDxfId="206"/>
    <tableColumn id="11" xr3:uid="{C5979A22-2538-48D8-A292-AB82B50149BE}" name="2012" dataDxfId="205"/>
    <tableColumn id="12" xr3:uid="{F51C7C3D-FC15-4EE0-A26A-94449E6D03DA}" name="2013" dataDxfId="204"/>
    <tableColumn id="13" xr3:uid="{5086F7E5-1857-41B5-BB9B-59B00DB870B3}" name="2014" dataDxfId="203"/>
    <tableColumn id="14" xr3:uid="{FFD0062C-8453-4167-AE01-D562AEE7FDDD}" name="2015" dataDxfId="202"/>
    <tableColumn id="15" xr3:uid="{5E88F454-6FFF-4317-BC4E-9759DC4AE151}" name="2016" dataDxfId="201"/>
    <tableColumn id="16" xr3:uid="{4E463344-565A-460F-BB94-589991A1E0B8}" name="2017" dataDxfId="200"/>
    <tableColumn id="17" xr3:uid="{0393E67C-511D-463B-8CF1-2E89F3E9CCFE}" name="2018" dataDxfId="199"/>
    <tableColumn id="18" xr3:uid="{9CDC81F4-867A-44BF-93AC-85B8A45FD383}" name="2019" dataDxfId="198"/>
    <tableColumn id="19" xr3:uid="{D119D72A-9062-44D8-A186-A97FD6CE131B}" name="2020" dataDxfId="197"/>
    <tableColumn id="20" xr3:uid="{0D6AB739-8CF6-46FA-B523-2D99E2C58F7B}" name="2021" dataDxfId="196"/>
    <tableColumn id="21" xr3:uid="{86E1D33D-E044-40E7-9049-DFF0D3E0DF21}" name="2022" dataDxfId="195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62CA-00BF-4A68-A2D7-B28C68A3DA6E}">
  <dimension ref="A1"/>
  <sheetViews>
    <sheetView workbookViewId="0">
      <selection activeCell="F25" sqref="F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6ED-FEF7-4F3D-9479-EA3AD13A54EF}">
  <dimension ref="B3:F26"/>
  <sheetViews>
    <sheetView workbookViewId="0">
      <selection activeCell="E10" sqref="E10:E12"/>
    </sheetView>
  </sheetViews>
  <sheetFormatPr baseColWidth="10" defaultRowHeight="15" x14ac:dyDescent="0.25"/>
  <cols>
    <col min="3" max="3" width="16.85546875" customWidth="1"/>
    <col min="4" max="4" width="15.5703125" customWidth="1"/>
  </cols>
  <sheetData>
    <row r="3" spans="2:6" ht="30" x14ac:dyDescent="0.25">
      <c r="B3" s="32" t="s">
        <v>61</v>
      </c>
      <c r="C3" s="33" t="s">
        <v>79</v>
      </c>
      <c r="D3" s="33" t="s">
        <v>80</v>
      </c>
      <c r="E3" s="33" t="s">
        <v>81</v>
      </c>
      <c r="F3" s="34" t="s">
        <v>35</v>
      </c>
    </row>
    <row r="4" spans="2:6" x14ac:dyDescent="0.25">
      <c r="B4" s="10">
        <v>2002</v>
      </c>
      <c r="C4" s="37">
        <v>0</v>
      </c>
      <c r="D4" s="37">
        <v>0</v>
      </c>
      <c r="E4" s="79">
        <v>2227</v>
      </c>
      <c r="F4" s="80">
        <f>SUM(Tabla17[[#This Row],[En proceso 
de Notificación]:[Concluidas]])</f>
        <v>2227</v>
      </c>
    </row>
    <row r="5" spans="2:6" x14ac:dyDescent="0.25">
      <c r="B5" s="10">
        <v>2003</v>
      </c>
      <c r="C5" s="37">
        <v>0</v>
      </c>
      <c r="D5" s="37">
        <v>0</v>
      </c>
      <c r="E5" s="79">
        <v>1957</v>
      </c>
      <c r="F5" s="80">
        <f>SUM(Tabla17[[#This Row],[En proceso 
de Notificación]:[Concluidas]])</f>
        <v>1957</v>
      </c>
    </row>
    <row r="6" spans="2:6" x14ac:dyDescent="0.25">
      <c r="B6" s="10">
        <v>2004</v>
      </c>
      <c r="C6" s="37">
        <v>0</v>
      </c>
      <c r="D6" s="37">
        <v>0</v>
      </c>
      <c r="E6" s="79">
        <v>2554</v>
      </c>
      <c r="F6" s="80">
        <f>SUM(Tabla17[[#This Row],[En proceso 
de Notificación]:[Concluidas]])</f>
        <v>2554</v>
      </c>
    </row>
    <row r="7" spans="2:6" x14ac:dyDescent="0.25">
      <c r="B7" s="10">
        <v>2005</v>
      </c>
      <c r="C7" s="37">
        <v>0</v>
      </c>
      <c r="D7" s="37">
        <v>0</v>
      </c>
      <c r="E7" s="79">
        <v>3810</v>
      </c>
      <c r="F7" s="80">
        <f>SUM(Tabla17[[#This Row],[En proceso 
de Notificación]:[Concluidas]])</f>
        <v>3810</v>
      </c>
    </row>
    <row r="8" spans="2:6" x14ac:dyDescent="0.25">
      <c r="B8" s="10">
        <v>2006</v>
      </c>
      <c r="C8" s="37">
        <v>0</v>
      </c>
      <c r="D8" s="37">
        <v>0</v>
      </c>
      <c r="E8" s="79">
        <v>6078</v>
      </c>
      <c r="F8" s="80">
        <f>SUM(Tabla17[[#This Row],[En proceso 
de Notificación]:[Concluidas]])</f>
        <v>6078</v>
      </c>
    </row>
    <row r="9" spans="2:6" x14ac:dyDescent="0.25">
      <c r="B9" s="10">
        <v>2007</v>
      </c>
      <c r="C9" s="37">
        <v>0</v>
      </c>
      <c r="D9" s="37">
        <v>0</v>
      </c>
      <c r="E9" s="79">
        <v>6176</v>
      </c>
      <c r="F9" s="80">
        <f>SUM(Tabla17[[#This Row],[En proceso 
de Notificación]:[Concluidas]])</f>
        <v>6176</v>
      </c>
    </row>
    <row r="10" spans="2:6" x14ac:dyDescent="0.25">
      <c r="B10" s="10">
        <v>2008</v>
      </c>
      <c r="C10" s="37">
        <v>0</v>
      </c>
      <c r="D10" s="37">
        <v>0</v>
      </c>
      <c r="E10" s="79">
        <v>5105</v>
      </c>
      <c r="F10" s="80">
        <f>SUM(Tabla17[[#This Row],[En proceso 
de Notificación]:[Concluidas]])</f>
        <v>5105</v>
      </c>
    </row>
    <row r="11" spans="2:6" x14ac:dyDescent="0.25">
      <c r="B11" s="10">
        <v>2009</v>
      </c>
      <c r="C11" s="37">
        <v>0</v>
      </c>
      <c r="D11" s="37">
        <v>0</v>
      </c>
      <c r="E11" s="79">
        <v>4568</v>
      </c>
      <c r="F11" s="80">
        <f>SUM(Tabla17[[#This Row],[En proceso 
de Notificación]:[Concluidas]])</f>
        <v>4568</v>
      </c>
    </row>
    <row r="12" spans="2:6" x14ac:dyDescent="0.25">
      <c r="B12" s="10">
        <v>2010</v>
      </c>
      <c r="C12" s="37">
        <v>0</v>
      </c>
      <c r="D12" s="37">
        <v>0</v>
      </c>
      <c r="E12" s="79">
        <v>5734</v>
      </c>
      <c r="F12" s="80">
        <f>SUM(Tabla17[[#This Row],[En proceso 
de Notificación]:[Concluidas]])</f>
        <v>5734</v>
      </c>
    </row>
    <row r="13" spans="2:6" x14ac:dyDescent="0.25">
      <c r="B13" s="10">
        <v>2011</v>
      </c>
      <c r="C13" s="37">
        <v>0</v>
      </c>
      <c r="D13" s="37">
        <v>0</v>
      </c>
      <c r="E13" s="79">
        <v>5312</v>
      </c>
      <c r="F13" s="80">
        <f>SUM(Tabla17[[#This Row],[En proceso 
de Notificación]:[Concluidas]])</f>
        <v>5312</v>
      </c>
    </row>
    <row r="14" spans="2:6" x14ac:dyDescent="0.25">
      <c r="B14" s="10">
        <v>2012</v>
      </c>
      <c r="C14" s="37">
        <v>0</v>
      </c>
      <c r="D14" s="37">
        <v>0</v>
      </c>
      <c r="E14" s="79">
        <v>5215</v>
      </c>
      <c r="F14" s="80">
        <f>SUM(Tabla17[[#This Row],[En proceso 
de Notificación]:[Concluidas]])</f>
        <v>5215</v>
      </c>
    </row>
    <row r="15" spans="2:6" x14ac:dyDescent="0.25">
      <c r="B15" s="10">
        <v>2013</v>
      </c>
      <c r="C15" s="37">
        <v>0</v>
      </c>
      <c r="D15" s="37">
        <v>0</v>
      </c>
      <c r="E15" s="79">
        <v>5299</v>
      </c>
      <c r="F15" s="80">
        <f>SUM(Tabla17[[#This Row],[En proceso 
de Notificación]:[Concluidas]])</f>
        <v>5299</v>
      </c>
    </row>
    <row r="16" spans="2:6" x14ac:dyDescent="0.25">
      <c r="B16" s="10">
        <v>2014</v>
      </c>
      <c r="C16" s="37">
        <v>0</v>
      </c>
      <c r="D16" s="37">
        <v>0</v>
      </c>
      <c r="E16" s="79">
        <v>2234</v>
      </c>
      <c r="F16" s="80">
        <f>SUM(Tabla17[[#This Row],[En proceso 
de Notificación]:[Concluidas]])</f>
        <v>2234</v>
      </c>
    </row>
    <row r="17" spans="2:6" x14ac:dyDescent="0.25">
      <c r="B17" s="10">
        <v>2015</v>
      </c>
      <c r="C17" s="37">
        <v>0</v>
      </c>
      <c r="D17" s="37">
        <v>0</v>
      </c>
      <c r="E17" s="79">
        <v>2772</v>
      </c>
      <c r="F17" s="80">
        <f>SUM(Tabla17[[#This Row],[En proceso 
de Notificación]:[Concluidas]])</f>
        <v>2772</v>
      </c>
    </row>
    <row r="18" spans="2:6" x14ac:dyDescent="0.25">
      <c r="B18" s="10">
        <v>2016</v>
      </c>
      <c r="C18" s="37">
        <v>0</v>
      </c>
      <c r="D18" s="37">
        <v>0</v>
      </c>
      <c r="E18" s="79">
        <v>3278</v>
      </c>
      <c r="F18" s="80">
        <f>SUM(Tabla17[[#This Row],[En proceso 
de Notificación]:[Concluidas]])</f>
        <v>3278</v>
      </c>
    </row>
    <row r="19" spans="2:6" x14ac:dyDescent="0.25">
      <c r="B19" s="10">
        <v>2017</v>
      </c>
      <c r="C19" s="37">
        <v>0</v>
      </c>
      <c r="D19" s="37">
        <v>0</v>
      </c>
      <c r="E19" s="79">
        <v>2415</v>
      </c>
      <c r="F19" s="80">
        <f>SUM(Tabla17[[#This Row],[En proceso 
de Notificación]:[Concluidas]])</f>
        <v>2415</v>
      </c>
    </row>
    <row r="20" spans="2:6" x14ac:dyDescent="0.25">
      <c r="B20" s="10">
        <v>2018</v>
      </c>
      <c r="C20" s="37">
        <v>0</v>
      </c>
      <c r="D20" s="37">
        <v>0</v>
      </c>
      <c r="E20" s="79">
        <v>2225</v>
      </c>
      <c r="F20" s="80">
        <f>SUM(Tabla17[[#This Row],[En proceso 
de Notificación]:[Concluidas]])</f>
        <v>2225</v>
      </c>
    </row>
    <row r="21" spans="2:6" x14ac:dyDescent="0.25">
      <c r="B21" s="10">
        <v>2019</v>
      </c>
      <c r="C21" s="37">
        <v>0</v>
      </c>
      <c r="D21" s="37">
        <v>0</v>
      </c>
      <c r="E21" s="79">
        <v>1737</v>
      </c>
      <c r="F21" s="80">
        <f>SUM(Tabla17[[#This Row],[En proceso 
de Notificación]:[Concluidas]])</f>
        <v>1737</v>
      </c>
    </row>
    <row r="22" spans="2:6" x14ac:dyDescent="0.25">
      <c r="B22" s="10">
        <v>2020</v>
      </c>
      <c r="C22" s="37">
        <v>0</v>
      </c>
      <c r="D22" s="37">
        <v>1</v>
      </c>
      <c r="E22" s="79">
        <v>1597</v>
      </c>
      <c r="F22" s="80">
        <f>SUM(Tabla17[[#This Row],[En proceso 
de Notificación]:[Concluidas]])</f>
        <v>1598</v>
      </c>
    </row>
    <row r="23" spans="2:6" x14ac:dyDescent="0.25">
      <c r="B23" s="10">
        <v>2021</v>
      </c>
      <c r="C23" s="37">
        <v>0</v>
      </c>
      <c r="D23" s="37">
        <v>7</v>
      </c>
      <c r="E23" s="79">
        <v>1794</v>
      </c>
      <c r="F23" s="80">
        <f>SUM(Tabla17[[#This Row],[En proceso 
de Notificación]:[Concluidas]])</f>
        <v>1801</v>
      </c>
    </row>
    <row r="24" spans="2:6" x14ac:dyDescent="0.25">
      <c r="B24" s="10">
        <v>2022</v>
      </c>
      <c r="C24" s="37">
        <v>0</v>
      </c>
      <c r="D24" s="37">
        <v>193</v>
      </c>
      <c r="E24" s="79">
        <v>1087</v>
      </c>
      <c r="F24" s="80">
        <f>SUM(Tabla17[[#This Row],[En proceso 
de Notificación]:[Concluidas]])</f>
        <v>1280</v>
      </c>
    </row>
    <row r="25" spans="2:6" x14ac:dyDescent="0.25">
      <c r="B25" s="10">
        <v>2023</v>
      </c>
      <c r="C25" s="37">
        <v>0</v>
      </c>
      <c r="D25" s="37">
        <v>59</v>
      </c>
      <c r="E25" s="79">
        <v>6</v>
      </c>
      <c r="F25" s="80">
        <f>SUM(Tabla17[[#This Row],[En proceso 
de Notificación]:[Concluidas]])</f>
        <v>65</v>
      </c>
    </row>
    <row r="26" spans="2:6" x14ac:dyDescent="0.25">
      <c r="B26" s="81" t="s">
        <v>35</v>
      </c>
      <c r="C26" s="49">
        <f>SUBTOTAL(109,C4:C25)</f>
        <v>0</v>
      </c>
      <c r="D26" s="49">
        <f t="shared" ref="D26:E26" si="0">SUBTOTAL(109,D4:D25)</f>
        <v>260</v>
      </c>
      <c r="E26" s="51">
        <f t="shared" si="0"/>
        <v>73180</v>
      </c>
      <c r="F26" s="82">
        <f>SUBTOTAL(109,F4:F25)</f>
        <v>73440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0929-4C78-4CEE-A862-509DEF1A6C59}">
  <dimension ref="A3:X34"/>
  <sheetViews>
    <sheetView topLeftCell="A26" workbookViewId="0">
      <selection activeCell="B1" sqref="B1:X1048576"/>
    </sheetView>
  </sheetViews>
  <sheetFormatPr baseColWidth="10" defaultRowHeight="15" x14ac:dyDescent="0.25"/>
  <cols>
    <col min="1" max="1" width="44" customWidth="1"/>
    <col min="2" max="24" width="6.28515625" customWidth="1"/>
  </cols>
  <sheetData>
    <row r="3" spans="1:24" x14ac:dyDescent="0.25">
      <c r="A3" s="83" t="s">
        <v>0</v>
      </c>
      <c r="B3" s="84" t="s">
        <v>36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  <c r="X3" s="87" t="s">
        <v>35</v>
      </c>
    </row>
    <row r="4" spans="1:24" x14ac:dyDescent="0.25">
      <c r="A4" s="83"/>
      <c r="B4" s="88" t="s">
        <v>37</v>
      </c>
      <c r="C4" s="89" t="s">
        <v>38</v>
      </c>
      <c r="D4" s="89" t="s">
        <v>39</v>
      </c>
      <c r="E4" s="89" t="s">
        <v>40</v>
      </c>
      <c r="F4" s="89" t="s">
        <v>41</v>
      </c>
      <c r="G4" s="89" t="s">
        <v>42</v>
      </c>
      <c r="H4" s="89" t="s">
        <v>43</v>
      </c>
      <c r="I4" s="89" t="s">
        <v>44</v>
      </c>
      <c r="J4" s="89" t="s">
        <v>45</v>
      </c>
      <c r="K4" s="89" t="s">
        <v>46</v>
      </c>
      <c r="L4" s="89" t="s">
        <v>47</v>
      </c>
      <c r="M4" s="89" t="s">
        <v>48</v>
      </c>
      <c r="N4" s="89" t="s">
        <v>49</v>
      </c>
      <c r="O4" s="89" t="s">
        <v>50</v>
      </c>
      <c r="P4" s="89" t="s">
        <v>51</v>
      </c>
      <c r="Q4" s="89" t="s">
        <v>52</v>
      </c>
      <c r="R4" s="89" t="s">
        <v>53</v>
      </c>
      <c r="S4" s="89" t="s">
        <v>54</v>
      </c>
      <c r="T4" s="89" t="s">
        <v>55</v>
      </c>
      <c r="U4" s="90" t="s">
        <v>56</v>
      </c>
      <c r="V4" s="89" t="s">
        <v>57</v>
      </c>
      <c r="W4" s="89" t="s">
        <v>58</v>
      </c>
      <c r="X4" s="87"/>
    </row>
    <row r="5" spans="1:24" ht="75" x14ac:dyDescent="0.25">
      <c r="A5" s="91" t="s">
        <v>4</v>
      </c>
      <c r="B5" s="92">
        <v>415</v>
      </c>
      <c r="C5" s="93">
        <v>388</v>
      </c>
      <c r="D5" s="93">
        <v>833</v>
      </c>
      <c r="E5" s="93">
        <v>2147</v>
      </c>
      <c r="F5" s="93">
        <v>3798</v>
      </c>
      <c r="G5" s="93">
        <v>3960</v>
      </c>
      <c r="H5" s="93">
        <v>3371</v>
      </c>
      <c r="I5" s="93">
        <v>2413</v>
      </c>
      <c r="J5" s="93">
        <v>3436</v>
      </c>
      <c r="K5" s="93">
        <v>3310</v>
      </c>
      <c r="L5" s="93">
        <v>3659</v>
      </c>
      <c r="M5" s="93">
        <v>3807</v>
      </c>
      <c r="N5" s="93">
        <v>818</v>
      </c>
      <c r="O5" s="93">
        <v>805</v>
      </c>
      <c r="P5" s="93">
        <v>1460</v>
      </c>
      <c r="Q5" s="93">
        <v>1066</v>
      </c>
      <c r="R5" s="93">
        <v>774</v>
      </c>
      <c r="S5" s="93">
        <v>412</v>
      </c>
      <c r="T5" s="93">
        <v>466</v>
      </c>
      <c r="U5" s="94">
        <v>732</v>
      </c>
      <c r="V5" s="95">
        <v>556</v>
      </c>
      <c r="W5" s="95">
        <v>19</v>
      </c>
      <c r="X5" s="96">
        <f>SUM(Tabla38[[#This Row],[2002]:[2023]])</f>
        <v>38645</v>
      </c>
    </row>
    <row r="6" spans="1:24" ht="60" x14ac:dyDescent="0.25">
      <c r="A6" s="91" t="s">
        <v>6</v>
      </c>
      <c r="B6" s="92">
        <v>247</v>
      </c>
      <c r="C6" s="93">
        <v>243</v>
      </c>
      <c r="D6" s="93">
        <v>336</v>
      </c>
      <c r="E6" s="93">
        <v>186</v>
      </c>
      <c r="F6" s="93">
        <v>246</v>
      </c>
      <c r="G6" s="93">
        <v>284</v>
      </c>
      <c r="H6" s="93">
        <v>117</v>
      </c>
      <c r="I6" s="93">
        <v>199</v>
      </c>
      <c r="J6" s="93">
        <v>260</v>
      </c>
      <c r="K6" s="93">
        <v>301</v>
      </c>
      <c r="L6" s="93">
        <v>296</v>
      </c>
      <c r="M6" s="93">
        <v>181</v>
      </c>
      <c r="N6" s="93">
        <v>145</v>
      </c>
      <c r="O6" s="93">
        <v>294</v>
      </c>
      <c r="P6" s="93">
        <v>325</v>
      </c>
      <c r="Q6" s="93">
        <v>193</v>
      </c>
      <c r="R6" s="93">
        <v>330</v>
      </c>
      <c r="S6" s="93">
        <v>241</v>
      </c>
      <c r="T6" s="93">
        <v>162</v>
      </c>
      <c r="U6" s="94">
        <v>158</v>
      </c>
      <c r="V6" s="93">
        <v>95</v>
      </c>
      <c r="W6" s="93">
        <v>7</v>
      </c>
      <c r="X6" s="96">
        <f>SUM(Tabla38[[#This Row],[2002]:[2023]])</f>
        <v>4846</v>
      </c>
    </row>
    <row r="7" spans="1:24" ht="45" x14ac:dyDescent="0.25">
      <c r="A7" s="91" t="s">
        <v>5</v>
      </c>
      <c r="B7" s="92">
        <v>188</v>
      </c>
      <c r="C7" s="93">
        <v>219</v>
      </c>
      <c r="D7" s="93">
        <v>210</v>
      </c>
      <c r="E7" s="93">
        <v>214</v>
      </c>
      <c r="F7" s="93">
        <v>265</v>
      </c>
      <c r="G7" s="93">
        <v>261</v>
      </c>
      <c r="H7" s="93">
        <v>199</v>
      </c>
      <c r="I7" s="93">
        <v>412</v>
      </c>
      <c r="J7" s="93">
        <v>281</v>
      </c>
      <c r="K7" s="93">
        <v>363</v>
      </c>
      <c r="L7" s="93">
        <v>274</v>
      </c>
      <c r="M7" s="93">
        <v>189</v>
      </c>
      <c r="N7" s="93">
        <v>226</v>
      </c>
      <c r="O7" s="93">
        <v>272</v>
      </c>
      <c r="P7" s="93">
        <v>222</v>
      </c>
      <c r="Q7" s="93">
        <v>231</v>
      </c>
      <c r="R7" s="93">
        <v>117</v>
      </c>
      <c r="S7" s="93">
        <v>104</v>
      </c>
      <c r="T7" s="93">
        <v>105</v>
      </c>
      <c r="U7" s="94">
        <v>72</v>
      </c>
      <c r="V7" s="93">
        <v>90</v>
      </c>
      <c r="W7" s="93">
        <v>2</v>
      </c>
      <c r="X7" s="96">
        <f>SUM(Tabla38[[#This Row],[2002]:[2023]])</f>
        <v>4516</v>
      </c>
    </row>
    <row r="8" spans="1:24" ht="90" x14ac:dyDescent="0.25">
      <c r="A8" s="91" t="s">
        <v>7</v>
      </c>
      <c r="B8" s="92">
        <v>173</v>
      </c>
      <c r="C8" s="93">
        <v>169</v>
      </c>
      <c r="D8" s="93">
        <v>206</v>
      </c>
      <c r="E8" s="93">
        <v>298</v>
      </c>
      <c r="F8" s="93">
        <v>449</v>
      </c>
      <c r="G8" s="93">
        <v>228</v>
      </c>
      <c r="H8" s="93">
        <v>63</v>
      </c>
      <c r="I8" s="93">
        <v>86</v>
      </c>
      <c r="J8" s="93">
        <v>66</v>
      </c>
      <c r="K8" s="93">
        <v>81</v>
      </c>
      <c r="L8" s="93">
        <v>51</v>
      </c>
      <c r="M8" s="93">
        <v>173</v>
      </c>
      <c r="N8" s="93">
        <v>141</v>
      </c>
      <c r="O8" s="93">
        <v>141</v>
      </c>
      <c r="P8" s="93">
        <v>134</v>
      </c>
      <c r="Q8" s="93">
        <v>71</v>
      </c>
      <c r="R8" s="93">
        <v>61</v>
      </c>
      <c r="S8" s="93">
        <v>37</v>
      </c>
      <c r="T8" s="93">
        <v>32</v>
      </c>
      <c r="U8" s="94">
        <v>30</v>
      </c>
      <c r="V8" s="93">
        <v>14</v>
      </c>
      <c r="W8" s="93" t="s">
        <v>59</v>
      </c>
      <c r="X8" s="96">
        <f>SUM(Tabla38[[#This Row],[2002]:[2023]])</f>
        <v>2704</v>
      </c>
    </row>
    <row r="9" spans="1:24" ht="90" x14ac:dyDescent="0.25">
      <c r="A9" s="91" t="s">
        <v>10</v>
      </c>
      <c r="B9" s="92">
        <v>159</v>
      </c>
      <c r="C9" s="93">
        <v>110</v>
      </c>
      <c r="D9" s="93">
        <v>167</v>
      </c>
      <c r="E9" s="93">
        <v>121</v>
      </c>
      <c r="F9" s="93">
        <v>168</v>
      </c>
      <c r="G9" s="93">
        <v>173</v>
      </c>
      <c r="H9" s="93">
        <v>122</v>
      </c>
      <c r="I9" s="93">
        <v>205</v>
      </c>
      <c r="J9" s="93">
        <v>188</v>
      </c>
      <c r="K9" s="93">
        <v>94</v>
      </c>
      <c r="L9" s="93">
        <v>110</v>
      </c>
      <c r="M9" s="93">
        <v>108</v>
      </c>
      <c r="N9" s="93">
        <v>111</v>
      </c>
      <c r="O9" s="93">
        <v>160</v>
      </c>
      <c r="P9" s="93">
        <v>160</v>
      </c>
      <c r="Q9" s="93">
        <v>118</v>
      </c>
      <c r="R9" s="93">
        <v>134</v>
      </c>
      <c r="S9" s="93">
        <v>105</v>
      </c>
      <c r="T9" s="93">
        <v>82</v>
      </c>
      <c r="U9" s="94">
        <v>61</v>
      </c>
      <c r="V9" s="93">
        <v>35</v>
      </c>
      <c r="W9" s="93" t="s">
        <v>59</v>
      </c>
      <c r="X9" s="96">
        <f>SUM(Tabla38[[#This Row],[2002]:[2023]])</f>
        <v>2691</v>
      </c>
    </row>
    <row r="10" spans="1:24" ht="60" x14ac:dyDescent="0.25">
      <c r="A10" s="91" t="s">
        <v>13</v>
      </c>
      <c r="B10" s="92">
        <v>73</v>
      </c>
      <c r="C10" s="93">
        <v>53</v>
      </c>
      <c r="D10" s="93">
        <v>75</v>
      </c>
      <c r="E10" s="93">
        <v>157</v>
      </c>
      <c r="F10" s="93">
        <v>143</v>
      </c>
      <c r="G10" s="93">
        <v>91</v>
      </c>
      <c r="H10" s="93">
        <v>185</v>
      </c>
      <c r="I10" s="93">
        <v>87</v>
      </c>
      <c r="J10" s="93">
        <v>102</v>
      </c>
      <c r="K10" s="93">
        <v>115</v>
      </c>
      <c r="L10" s="93">
        <v>139</v>
      </c>
      <c r="M10" s="93">
        <v>99</v>
      </c>
      <c r="N10" s="93">
        <v>114</v>
      </c>
      <c r="O10" s="93">
        <v>107</v>
      </c>
      <c r="P10" s="93">
        <v>92</v>
      </c>
      <c r="Q10" s="93">
        <v>102</v>
      </c>
      <c r="R10" s="93">
        <v>140</v>
      </c>
      <c r="S10" s="93">
        <v>102</v>
      </c>
      <c r="T10" s="93">
        <v>115</v>
      </c>
      <c r="U10" s="94">
        <v>73</v>
      </c>
      <c r="V10" s="93">
        <v>63</v>
      </c>
      <c r="W10" s="93" t="s">
        <v>59</v>
      </c>
      <c r="X10" s="96">
        <f>SUM(Tabla38[[#This Row],[2002]:[2023]])</f>
        <v>2227</v>
      </c>
    </row>
    <row r="11" spans="1:24" ht="30" x14ac:dyDescent="0.25">
      <c r="A11" s="91" t="s">
        <v>9</v>
      </c>
      <c r="B11" s="92">
        <v>92</v>
      </c>
      <c r="C11" s="93">
        <v>51</v>
      </c>
      <c r="D11" s="93">
        <v>106</v>
      </c>
      <c r="E11" s="93">
        <v>92</v>
      </c>
      <c r="F11" s="93">
        <v>137</v>
      </c>
      <c r="G11" s="93">
        <v>190</v>
      </c>
      <c r="H11" s="93">
        <v>146</v>
      </c>
      <c r="I11" s="93">
        <v>165</v>
      </c>
      <c r="J11" s="93">
        <v>214</v>
      </c>
      <c r="K11" s="93">
        <v>200</v>
      </c>
      <c r="L11" s="93">
        <v>103</v>
      </c>
      <c r="M11" s="93">
        <v>107</v>
      </c>
      <c r="N11" s="93">
        <v>110</v>
      </c>
      <c r="O11" s="93">
        <v>62</v>
      </c>
      <c r="P11" s="93">
        <v>108</v>
      </c>
      <c r="Q11" s="93">
        <v>66</v>
      </c>
      <c r="R11" s="93">
        <v>88</v>
      </c>
      <c r="S11" s="93">
        <v>61</v>
      </c>
      <c r="T11" s="93">
        <v>43</v>
      </c>
      <c r="U11" s="94">
        <v>37</v>
      </c>
      <c r="V11" s="93">
        <v>40</v>
      </c>
      <c r="W11" s="93">
        <v>6</v>
      </c>
      <c r="X11" s="96">
        <f>SUM(Tabla38[[#This Row],[2002]:[2023]])</f>
        <v>2224</v>
      </c>
    </row>
    <row r="12" spans="1:24" x14ac:dyDescent="0.25">
      <c r="A12" s="91" t="s">
        <v>11</v>
      </c>
      <c r="B12" s="92">
        <v>49</v>
      </c>
      <c r="C12" s="93">
        <v>37</v>
      </c>
      <c r="D12" s="93">
        <v>30</v>
      </c>
      <c r="E12" s="93">
        <v>63</v>
      </c>
      <c r="F12" s="93">
        <v>86</v>
      </c>
      <c r="G12" s="93">
        <v>38</v>
      </c>
      <c r="H12" s="93">
        <v>135</v>
      </c>
      <c r="I12" s="93">
        <v>110</v>
      </c>
      <c r="J12" s="93">
        <v>308</v>
      </c>
      <c r="K12" s="93">
        <v>227</v>
      </c>
      <c r="L12" s="93">
        <v>90</v>
      </c>
      <c r="M12" s="93">
        <v>138</v>
      </c>
      <c r="N12" s="93">
        <v>77</v>
      </c>
      <c r="O12" s="93">
        <v>134</v>
      </c>
      <c r="P12" s="93">
        <v>105</v>
      </c>
      <c r="Q12" s="93">
        <v>78</v>
      </c>
      <c r="R12" s="93">
        <v>69</v>
      </c>
      <c r="S12" s="93">
        <v>51</v>
      </c>
      <c r="T12" s="93">
        <v>85</v>
      </c>
      <c r="U12" s="94">
        <v>104</v>
      </c>
      <c r="V12" s="93">
        <v>26</v>
      </c>
      <c r="W12" s="93">
        <v>1</v>
      </c>
      <c r="X12" s="96">
        <f>SUM(Tabla38[[#This Row],[2002]:[2023]])</f>
        <v>2041</v>
      </c>
    </row>
    <row r="13" spans="1:24" x14ac:dyDescent="0.25">
      <c r="A13" s="91" t="s">
        <v>15</v>
      </c>
      <c r="B13" s="92">
        <v>81</v>
      </c>
      <c r="C13" s="93">
        <v>21</v>
      </c>
      <c r="D13" s="93">
        <v>52</v>
      </c>
      <c r="E13" s="93">
        <v>43</v>
      </c>
      <c r="F13" s="93">
        <v>20</v>
      </c>
      <c r="G13" s="93">
        <v>48</v>
      </c>
      <c r="H13" s="93">
        <v>70</v>
      </c>
      <c r="I13" s="93">
        <v>125</v>
      </c>
      <c r="J13" s="93">
        <v>170</v>
      </c>
      <c r="K13" s="93">
        <v>15</v>
      </c>
      <c r="L13" s="93">
        <v>43</v>
      </c>
      <c r="M13" s="93">
        <v>38</v>
      </c>
      <c r="N13" s="93">
        <v>28</v>
      </c>
      <c r="O13" s="93">
        <v>147</v>
      </c>
      <c r="P13" s="93">
        <v>91</v>
      </c>
      <c r="Q13" s="93">
        <v>13</v>
      </c>
      <c r="R13" s="93">
        <v>41</v>
      </c>
      <c r="S13" s="93">
        <v>62</v>
      </c>
      <c r="T13" s="93">
        <v>101</v>
      </c>
      <c r="U13" s="94">
        <v>108</v>
      </c>
      <c r="V13" s="93">
        <v>41</v>
      </c>
      <c r="W13" s="93" t="s">
        <v>59</v>
      </c>
      <c r="X13" s="96">
        <f>SUM(Tabla38[[#This Row],[2002]:[2023]])</f>
        <v>1358</v>
      </c>
    </row>
    <row r="14" spans="1:24" ht="105" x14ac:dyDescent="0.25">
      <c r="A14" s="91" t="s">
        <v>8</v>
      </c>
      <c r="B14" s="92">
        <v>64</v>
      </c>
      <c r="C14" s="93">
        <v>57</v>
      </c>
      <c r="D14" s="93">
        <v>112</v>
      </c>
      <c r="E14" s="93">
        <v>77</v>
      </c>
      <c r="F14" s="93">
        <v>69</v>
      </c>
      <c r="G14" s="93">
        <v>76</v>
      </c>
      <c r="H14" s="93">
        <v>54</v>
      </c>
      <c r="I14" s="93">
        <v>53</v>
      </c>
      <c r="J14" s="93">
        <v>21</v>
      </c>
      <c r="K14" s="93">
        <v>69</v>
      </c>
      <c r="L14" s="93">
        <v>58</v>
      </c>
      <c r="M14" s="93">
        <v>40</v>
      </c>
      <c r="N14" s="93">
        <v>51</v>
      </c>
      <c r="O14" s="93">
        <v>20</v>
      </c>
      <c r="P14" s="93">
        <v>84</v>
      </c>
      <c r="Q14" s="93">
        <v>32</v>
      </c>
      <c r="R14" s="93">
        <v>32</v>
      </c>
      <c r="S14" s="93">
        <v>19</v>
      </c>
      <c r="T14" s="93">
        <v>55</v>
      </c>
      <c r="U14" s="94">
        <v>146</v>
      </c>
      <c r="V14" s="93">
        <v>93</v>
      </c>
      <c r="W14" s="93" t="s">
        <v>59</v>
      </c>
      <c r="X14" s="96">
        <f>SUM(Tabla38[[#This Row],[2002]:[2023]])</f>
        <v>1282</v>
      </c>
    </row>
    <row r="15" spans="1:24" ht="90" x14ac:dyDescent="0.25">
      <c r="A15" s="91" t="s">
        <v>19</v>
      </c>
      <c r="B15" s="92">
        <v>23</v>
      </c>
      <c r="C15" s="93">
        <v>29</v>
      </c>
      <c r="D15" s="93">
        <v>41</v>
      </c>
      <c r="E15" s="93">
        <v>16</v>
      </c>
      <c r="F15" s="93">
        <v>52</v>
      </c>
      <c r="G15" s="93">
        <v>72</v>
      </c>
      <c r="H15" s="93">
        <v>116</v>
      </c>
      <c r="I15" s="93">
        <v>251</v>
      </c>
      <c r="J15" s="93">
        <v>117</v>
      </c>
      <c r="K15" s="93">
        <v>89</v>
      </c>
      <c r="L15" s="93">
        <v>74</v>
      </c>
      <c r="M15" s="93">
        <v>34</v>
      </c>
      <c r="N15" s="93">
        <v>60</v>
      </c>
      <c r="O15" s="93">
        <v>50</v>
      </c>
      <c r="P15" s="93">
        <v>21</v>
      </c>
      <c r="Q15" s="93">
        <v>60</v>
      </c>
      <c r="R15" s="93">
        <v>37</v>
      </c>
      <c r="S15" s="93">
        <v>49</v>
      </c>
      <c r="T15" s="93">
        <v>50</v>
      </c>
      <c r="U15" s="94">
        <v>12</v>
      </c>
      <c r="V15" s="93">
        <v>12</v>
      </c>
      <c r="W15" s="93" t="s">
        <v>59</v>
      </c>
      <c r="X15" s="96">
        <f>SUM(Tabla38[[#This Row],[2002]:[2023]])</f>
        <v>1265</v>
      </c>
    </row>
    <row r="16" spans="1:24" ht="90" x14ac:dyDescent="0.25">
      <c r="A16" s="91" t="s">
        <v>12</v>
      </c>
      <c r="B16" s="92">
        <v>139</v>
      </c>
      <c r="C16" s="93">
        <v>50</v>
      </c>
      <c r="D16" s="93">
        <v>69</v>
      </c>
      <c r="E16" s="93">
        <v>69</v>
      </c>
      <c r="F16" s="93">
        <v>59</v>
      </c>
      <c r="G16" s="93">
        <v>96</v>
      </c>
      <c r="H16" s="93">
        <v>48</v>
      </c>
      <c r="I16" s="93">
        <v>56</v>
      </c>
      <c r="J16" s="93">
        <v>64</v>
      </c>
      <c r="K16" s="93">
        <v>29</v>
      </c>
      <c r="L16" s="93">
        <v>35</v>
      </c>
      <c r="M16" s="93">
        <v>58</v>
      </c>
      <c r="N16" s="93">
        <v>55</v>
      </c>
      <c r="O16" s="93">
        <v>66</v>
      </c>
      <c r="P16" s="93">
        <v>46</v>
      </c>
      <c r="Q16" s="93">
        <v>39</v>
      </c>
      <c r="R16" s="93">
        <v>41</v>
      </c>
      <c r="S16" s="93">
        <v>18</v>
      </c>
      <c r="T16" s="93">
        <v>24</v>
      </c>
      <c r="U16" s="94">
        <v>5</v>
      </c>
      <c r="V16" s="93">
        <v>55</v>
      </c>
      <c r="W16" s="93" t="s">
        <v>59</v>
      </c>
      <c r="X16" s="96">
        <f>SUM(Tabla38[[#This Row],[2002]:[2023]])</f>
        <v>1121</v>
      </c>
    </row>
    <row r="17" spans="1:24" x14ac:dyDescent="0.25">
      <c r="A17" s="91" t="s">
        <v>16</v>
      </c>
      <c r="B17" s="92">
        <v>211</v>
      </c>
      <c r="C17" s="93">
        <v>117</v>
      </c>
      <c r="D17" s="93">
        <v>55</v>
      </c>
      <c r="E17" s="93">
        <v>38</v>
      </c>
      <c r="F17" s="93">
        <v>58</v>
      </c>
      <c r="G17" s="93">
        <v>50</v>
      </c>
      <c r="H17" s="93">
        <v>8</v>
      </c>
      <c r="I17" s="93">
        <v>5</v>
      </c>
      <c r="J17" s="93">
        <v>25</v>
      </c>
      <c r="K17" s="93">
        <v>40</v>
      </c>
      <c r="L17" s="93">
        <v>10</v>
      </c>
      <c r="M17" s="93">
        <v>10</v>
      </c>
      <c r="N17" s="93">
        <v>15</v>
      </c>
      <c r="O17" s="93">
        <v>46</v>
      </c>
      <c r="P17" s="93">
        <v>51</v>
      </c>
      <c r="Q17" s="93">
        <v>43</v>
      </c>
      <c r="R17" s="93">
        <v>36</v>
      </c>
      <c r="S17" s="93">
        <v>1</v>
      </c>
      <c r="T17" s="93">
        <v>26</v>
      </c>
      <c r="U17" s="94">
        <v>7</v>
      </c>
      <c r="V17" s="93">
        <v>15</v>
      </c>
      <c r="W17" s="93">
        <v>15</v>
      </c>
      <c r="X17" s="96">
        <f>SUM(Tabla38[[#This Row],[2002]:[2023]])</f>
        <v>882</v>
      </c>
    </row>
    <row r="18" spans="1:24" x14ac:dyDescent="0.25">
      <c r="A18" s="91" t="s">
        <v>14</v>
      </c>
      <c r="B18" s="92">
        <v>36</v>
      </c>
      <c r="C18" s="93">
        <v>44</v>
      </c>
      <c r="D18" s="93">
        <v>17</v>
      </c>
      <c r="E18" s="93">
        <v>60</v>
      </c>
      <c r="F18" s="93">
        <v>50</v>
      </c>
      <c r="G18" s="93">
        <v>86</v>
      </c>
      <c r="H18" s="93">
        <v>73</v>
      </c>
      <c r="I18" s="93">
        <v>38</v>
      </c>
      <c r="J18" s="93">
        <v>29</v>
      </c>
      <c r="K18" s="93">
        <v>20</v>
      </c>
      <c r="L18" s="93">
        <v>20</v>
      </c>
      <c r="M18" s="93">
        <v>42</v>
      </c>
      <c r="N18" s="93">
        <v>37</v>
      </c>
      <c r="O18" s="93">
        <v>41</v>
      </c>
      <c r="P18" s="93">
        <v>76</v>
      </c>
      <c r="Q18" s="93">
        <v>56</v>
      </c>
      <c r="R18" s="93">
        <v>41</v>
      </c>
      <c r="S18" s="93">
        <v>34</v>
      </c>
      <c r="T18" s="93">
        <v>5</v>
      </c>
      <c r="U18" s="94">
        <v>41</v>
      </c>
      <c r="V18" s="93">
        <v>2</v>
      </c>
      <c r="W18" s="93">
        <v>11</v>
      </c>
      <c r="X18" s="96">
        <f>SUM(Tabla38[[#This Row],[2002]:[2023]])</f>
        <v>859</v>
      </c>
    </row>
    <row r="19" spans="1:24" x14ac:dyDescent="0.25">
      <c r="A19" s="91" t="s">
        <v>18</v>
      </c>
      <c r="B19" s="92">
        <v>31</v>
      </c>
      <c r="C19" s="93" t="s">
        <v>59</v>
      </c>
      <c r="D19" s="93">
        <v>13</v>
      </c>
      <c r="E19" s="93">
        <v>40</v>
      </c>
      <c r="F19" s="93">
        <v>39</v>
      </c>
      <c r="G19" s="93">
        <v>37</v>
      </c>
      <c r="H19" s="93">
        <v>51</v>
      </c>
      <c r="I19" s="93">
        <v>41</v>
      </c>
      <c r="J19" s="93">
        <v>59</v>
      </c>
      <c r="K19" s="93">
        <v>38</v>
      </c>
      <c r="L19" s="93">
        <v>43</v>
      </c>
      <c r="M19" s="93">
        <v>100</v>
      </c>
      <c r="N19" s="93">
        <v>80</v>
      </c>
      <c r="O19" s="93">
        <v>34</v>
      </c>
      <c r="P19" s="93">
        <v>43</v>
      </c>
      <c r="Q19" s="93">
        <v>17</v>
      </c>
      <c r="R19" s="93">
        <v>14</v>
      </c>
      <c r="S19" s="93">
        <v>61</v>
      </c>
      <c r="T19" s="93">
        <v>35</v>
      </c>
      <c r="U19" s="94">
        <v>8</v>
      </c>
      <c r="V19" s="93">
        <v>22</v>
      </c>
      <c r="W19" s="93" t="s">
        <v>59</v>
      </c>
      <c r="X19" s="96">
        <f>SUM(Tabla38[[#This Row],[2002]:[2023]])</f>
        <v>806</v>
      </c>
    </row>
    <row r="20" spans="1:24" ht="30" x14ac:dyDescent="0.25">
      <c r="A20" s="91" t="s">
        <v>20</v>
      </c>
      <c r="B20" s="92">
        <v>13</v>
      </c>
      <c r="C20" s="93">
        <v>12</v>
      </c>
      <c r="D20" s="93">
        <v>39</v>
      </c>
      <c r="E20" s="93">
        <v>41</v>
      </c>
      <c r="F20" s="93">
        <v>39</v>
      </c>
      <c r="G20" s="93">
        <v>49</v>
      </c>
      <c r="H20" s="93">
        <v>13</v>
      </c>
      <c r="I20" s="93">
        <v>39</v>
      </c>
      <c r="J20" s="93">
        <v>20</v>
      </c>
      <c r="K20" s="93">
        <v>50</v>
      </c>
      <c r="L20" s="93">
        <v>43</v>
      </c>
      <c r="M20" s="93">
        <v>17</v>
      </c>
      <c r="N20" s="93">
        <v>30</v>
      </c>
      <c r="O20" s="93">
        <v>50</v>
      </c>
      <c r="P20" s="93">
        <v>25</v>
      </c>
      <c r="Q20" s="93">
        <v>53</v>
      </c>
      <c r="R20" s="93">
        <v>54</v>
      </c>
      <c r="S20" s="93">
        <v>43</v>
      </c>
      <c r="T20" s="93">
        <v>31</v>
      </c>
      <c r="U20" s="94">
        <v>31</v>
      </c>
      <c r="V20" s="93">
        <v>18</v>
      </c>
      <c r="W20" s="93" t="s">
        <v>59</v>
      </c>
      <c r="X20" s="96">
        <f>SUM(Tabla38[[#This Row],[2002]:[2023]])</f>
        <v>710</v>
      </c>
    </row>
    <row r="21" spans="1:24" ht="120" x14ac:dyDescent="0.25">
      <c r="A21" s="91" t="s">
        <v>25</v>
      </c>
      <c r="B21" s="92">
        <v>4</v>
      </c>
      <c r="C21" s="93">
        <v>10</v>
      </c>
      <c r="D21" s="93">
        <v>3</v>
      </c>
      <c r="E21" s="93">
        <v>4</v>
      </c>
      <c r="F21" s="93">
        <v>109</v>
      </c>
      <c r="G21" s="93">
        <v>59</v>
      </c>
      <c r="H21" s="93">
        <v>13</v>
      </c>
      <c r="I21" s="93">
        <v>25</v>
      </c>
      <c r="J21" s="93">
        <v>35</v>
      </c>
      <c r="K21" s="93">
        <v>19</v>
      </c>
      <c r="L21" s="93">
        <v>10</v>
      </c>
      <c r="M21" s="93">
        <v>63</v>
      </c>
      <c r="N21" s="93">
        <v>22</v>
      </c>
      <c r="O21" s="93">
        <v>18</v>
      </c>
      <c r="P21" s="93">
        <v>2</v>
      </c>
      <c r="Q21" s="93">
        <v>13</v>
      </c>
      <c r="R21" s="93">
        <v>22</v>
      </c>
      <c r="S21" s="93">
        <v>87</v>
      </c>
      <c r="T21" s="93">
        <v>26</v>
      </c>
      <c r="U21" s="94">
        <v>75</v>
      </c>
      <c r="V21" s="93">
        <v>27</v>
      </c>
      <c r="W21" s="93">
        <v>2</v>
      </c>
      <c r="X21" s="96">
        <f>SUM(Tabla38[[#This Row],[2002]:[2023]])</f>
        <v>648</v>
      </c>
    </row>
    <row r="22" spans="1:24" ht="45" x14ac:dyDescent="0.25">
      <c r="A22" s="91" t="s">
        <v>31</v>
      </c>
      <c r="B22" s="92">
        <v>22</v>
      </c>
      <c r="C22" s="93">
        <v>29</v>
      </c>
      <c r="D22" s="93">
        <v>18</v>
      </c>
      <c r="E22" s="93">
        <v>22</v>
      </c>
      <c r="F22" s="93">
        <v>46</v>
      </c>
      <c r="G22" s="93">
        <v>89</v>
      </c>
      <c r="H22" s="93">
        <v>71</v>
      </c>
      <c r="I22" s="93">
        <v>51</v>
      </c>
      <c r="J22" s="93">
        <v>64</v>
      </c>
      <c r="K22" s="93">
        <v>41</v>
      </c>
      <c r="L22" s="93">
        <v>13</v>
      </c>
      <c r="M22" s="93">
        <v>11</v>
      </c>
      <c r="N22" s="93">
        <v>16</v>
      </c>
      <c r="O22" s="93">
        <v>25</v>
      </c>
      <c r="P22" s="93">
        <v>10</v>
      </c>
      <c r="Q22" s="93">
        <v>30</v>
      </c>
      <c r="R22" s="93">
        <v>47</v>
      </c>
      <c r="S22" s="93">
        <v>13</v>
      </c>
      <c r="T22" s="93">
        <v>4</v>
      </c>
      <c r="U22" s="94">
        <v>2</v>
      </c>
      <c r="V22" s="93">
        <v>3</v>
      </c>
      <c r="W22" s="93" t="s">
        <v>59</v>
      </c>
      <c r="X22" s="96">
        <f>SUM(Tabla38[[#This Row],[2002]:[2023]])</f>
        <v>627</v>
      </c>
    </row>
    <row r="23" spans="1:24" ht="45" x14ac:dyDescent="0.25">
      <c r="A23" s="91" t="s">
        <v>17</v>
      </c>
      <c r="B23" s="92">
        <v>26</v>
      </c>
      <c r="C23" s="93">
        <v>27</v>
      </c>
      <c r="D23" s="93">
        <v>20</v>
      </c>
      <c r="E23" s="93">
        <v>36</v>
      </c>
      <c r="F23" s="93">
        <v>75</v>
      </c>
      <c r="G23" s="93">
        <v>49</v>
      </c>
      <c r="H23" s="93">
        <v>12</v>
      </c>
      <c r="I23" s="93">
        <v>14</v>
      </c>
      <c r="J23" s="93">
        <v>44</v>
      </c>
      <c r="K23" s="93">
        <v>14</v>
      </c>
      <c r="L23" s="93">
        <v>26</v>
      </c>
      <c r="M23" s="93">
        <v>25</v>
      </c>
      <c r="N23" s="93">
        <v>23</v>
      </c>
      <c r="O23" s="93">
        <v>48</v>
      </c>
      <c r="P23" s="93">
        <v>31</v>
      </c>
      <c r="Q23" s="93">
        <v>24</v>
      </c>
      <c r="R23" s="93">
        <v>24</v>
      </c>
      <c r="S23" s="93">
        <v>12</v>
      </c>
      <c r="T23" s="93">
        <v>14</v>
      </c>
      <c r="U23" s="94">
        <v>41</v>
      </c>
      <c r="V23" s="93">
        <v>19</v>
      </c>
      <c r="W23" s="93" t="s">
        <v>59</v>
      </c>
      <c r="X23" s="96">
        <f>SUM(Tabla38[[#This Row],[2002]:[2023]])</f>
        <v>604</v>
      </c>
    </row>
    <row r="24" spans="1:24" ht="30" x14ac:dyDescent="0.25">
      <c r="A24" s="91" t="s">
        <v>26</v>
      </c>
      <c r="B24" s="92" t="s">
        <v>59</v>
      </c>
      <c r="C24" s="93">
        <v>157</v>
      </c>
      <c r="D24" s="93">
        <v>56</v>
      </c>
      <c r="E24" s="93">
        <v>8</v>
      </c>
      <c r="F24" s="93">
        <v>31</v>
      </c>
      <c r="G24" s="93">
        <v>47</v>
      </c>
      <c r="H24" s="93">
        <v>13</v>
      </c>
      <c r="I24" s="93">
        <v>8</v>
      </c>
      <c r="J24" s="93">
        <v>62</v>
      </c>
      <c r="K24" s="93">
        <v>38</v>
      </c>
      <c r="L24" s="93" t="s">
        <v>59</v>
      </c>
      <c r="M24" s="93">
        <v>23</v>
      </c>
      <c r="N24" s="93">
        <v>3</v>
      </c>
      <c r="O24" s="93">
        <v>12</v>
      </c>
      <c r="P24" s="93">
        <v>17</v>
      </c>
      <c r="Q24" s="93">
        <v>16</v>
      </c>
      <c r="R24" s="93">
        <v>23</v>
      </c>
      <c r="S24" s="93">
        <v>2</v>
      </c>
      <c r="T24" s="93">
        <v>19</v>
      </c>
      <c r="U24" s="94">
        <v>10</v>
      </c>
      <c r="V24" s="93">
        <v>13</v>
      </c>
      <c r="W24" s="93" t="s">
        <v>59</v>
      </c>
      <c r="X24" s="96">
        <f>SUM(Tabla38[[#This Row],[2002]:[2023]])</f>
        <v>558</v>
      </c>
    </row>
    <row r="25" spans="1:24" ht="30" x14ac:dyDescent="0.25">
      <c r="A25" s="91" t="s">
        <v>23</v>
      </c>
      <c r="B25" s="92">
        <v>3</v>
      </c>
      <c r="C25" s="93">
        <v>9</v>
      </c>
      <c r="D25" s="93">
        <v>14</v>
      </c>
      <c r="E25" s="93">
        <v>2</v>
      </c>
      <c r="F25" s="93">
        <v>8</v>
      </c>
      <c r="G25" s="93">
        <v>30</v>
      </c>
      <c r="H25" s="93">
        <v>56</v>
      </c>
      <c r="I25" s="93">
        <v>44</v>
      </c>
      <c r="J25" s="93">
        <v>22</v>
      </c>
      <c r="K25" s="93">
        <v>50</v>
      </c>
      <c r="L25" s="93">
        <v>10</v>
      </c>
      <c r="M25" s="93">
        <v>8</v>
      </c>
      <c r="N25" s="93">
        <v>3</v>
      </c>
      <c r="O25" s="93">
        <v>2</v>
      </c>
      <c r="P25" s="93">
        <v>6</v>
      </c>
      <c r="Q25" s="93">
        <v>3</v>
      </c>
      <c r="R25" s="93">
        <v>23</v>
      </c>
      <c r="S25" s="93">
        <v>51</v>
      </c>
      <c r="T25" s="93">
        <v>51</v>
      </c>
      <c r="U25" s="94">
        <v>8</v>
      </c>
      <c r="V25" s="93">
        <v>6</v>
      </c>
      <c r="W25" s="93">
        <v>2</v>
      </c>
      <c r="X25" s="96">
        <f>SUM(Tabla38[[#This Row],[2002]:[2023]])</f>
        <v>411</v>
      </c>
    </row>
    <row r="26" spans="1:24" ht="90" x14ac:dyDescent="0.25">
      <c r="A26" s="91" t="s">
        <v>21</v>
      </c>
      <c r="B26" s="92">
        <v>1</v>
      </c>
      <c r="C26" s="93">
        <v>15</v>
      </c>
      <c r="D26" s="93">
        <v>5</v>
      </c>
      <c r="E26" s="93">
        <v>11</v>
      </c>
      <c r="F26" s="93">
        <v>31</v>
      </c>
      <c r="G26" s="93">
        <v>12</v>
      </c>
      <c r="H26" s="93">
        <v>24</v>
      </c>
      <c r="I26" s="93">
        <v>44</v>
      </c>
      <c r="J26" s="93">
        <v>33</v>
      </c>
      <c r="K26" s="93">
        <v>25</v>
      </c>
      <c r="L26" s="93">
        <v>30</v>
      </c>
      <c r="M26" s="93">
        <v>9</v>
      </c>
      <c r="N26" s="93">
        <v>14</v>
      </c>
      <c r="O26" s="93">
        <v>16</v>
      </c>
      <c r="P26" s="93">
        <v>58</v>
      </c>
      <c r="Q26" s="93">
        <v>18</v>
      </c>
      <c r="R26" s="93">
        <v>24</v>
      </c>
      <c r="S26" s="93">
        <v>3</v>
      </c>
      <c r="T26" s="93">
        <v>12</v>
      </c>
      <c r="U26" s="94">
        <v>12</v>
      </c>
      <c r="V26" s="93">
        <v>10</v>
      </c>
      <c r="W26" s="93" t="s">
        <v>59</v>
      </c>
      <c r="X26" s="96">
        <f>SUM(Tabla38[[#This Row],[2002]:[2023]])</f>
        <v>407</v>
      </c>
    </row>
    <row r="27" spans="1:24" ht="30" x14ac:dyDescent="0.25">
      <c r="A27" s="91" t="s">
        <v>27</v>
      </c>
      <c r="B27" s="92">
        <v>28</v>
      </c>
      <c r="C27" s="93">
        <v>44</v>
      </c>
      <c r="D27" s="93">
        <v>14</v>
      </c>
      <c r="E27" s="93">
        <v>18</v>
      </c>
      <c r="F27" s="93">
        <v>10</v>
      </c>
      <c r="G27" s="93">
        <v>26</v>
      </c>
      <c r="H27" s="93">
        <v>1</v>
      </c>
      <c r="I27" s="93">
        <v>3</v>
      </c>
      <c r="J27" s="93">
        <v>33</v>
      </c>
      <c r="K27" s="93">
        <v>7</v>
      </c>
      <c r="L27" s="93">
        <v>9</v>
      </c>
      <c r="M27" s="93">
        <v>1</v>
      </c>
      <c r="N27" s="93">
        <v>6</v>
      </c>
      <c r="O27" s="93">
        <v>127</v>
      </c>
      <c r="P27" s="93">
        <v>10</v>
      </c>
      <c r="Q27" s="93">
        <v>6</v>
      </c>
      <c r="R27" s="93">
        <v>14</v>
      </c>
      <c r="S27" s="93">
        <v>43</v>
      </c>
      <c r="T27" s="93">
        <v>1</v>
      </c>
      <c r="U27" s="94" t="s">
        <v>59</v>
      </c>
      <c r="V27" s="93" t="s">
        <v>59</v>
      </c>
      <c r="W27" s="93" t="s">
        <v>59</v>
      </c>
      <c r="X27" s="96">
        <f>SUM(Tabla38[[#This Row],[2002]:[2023]])</f>
        <v>401</v>
      </c>
    </row>
    <row r="28" spans="1:24" x14ac:dyDescent="0.25">
      <c r="A28" s="91" t="s">
        <v>22</v>
      </c>
      <c r="B28" s="92">
        <v>73</v>
      </c>
      <c r="C28" s="93">
        <v>14</v>
      </c>
      <c r="D28" s="93">
        <v>21</v>
      </c>
      <c r="E28" s="93">
        <v>10</v>
      </c>
      <c r="F28" s="93">
        <v>5</v>
      </c>
      <c r="G28" s="93">
        <v>16</v>
      </c>
      <c r="H28" s="93">
        <v>16</v>
      </c>
      <c r="I28" s="93">
        <v>28</v>
      </c>
      <c r="J28" s="93">
        <v>26</v>
      </c>
      <c r="K28" s="93">
        <v>27</v>
      </c>
      <c r="L28" s="93">
        <v>21</v>
      </c>
      <c r="M28" s="93">
        <v>6</v>
      </c>
      <c r="N28" s="93">
        <v>18</v>
      </c>
      <c r="O28" s="93">
        <v>7</v>
      </c>
      <c r="P28" s="93">
        <v>10</v>
      </c>
      <c r="Q28" s="93">
        <v>16</v>
      </c>
      <c r="R28" s="93">
        <v>8</v>
      </c>
      <c r="S28" s="93">
        <v>61</v>
      </c>
      <c r="T28" s="93">
        <v>6</v>
      </c>
      <c r="U28" s="94">
        <v>3</v>
      </c>
      <c r="V28" s="93">
        <v>5</v>
      </c>
      <c r="W28" s="93" t="s">
        <v>59</v>
      </c>
      <c r="X28" s="96">
        <f>SUM(Tabla38[[#This Row],[2002]:[2023]])</f>
        <v>397</v>
      </c>
    </row>
    <row r="29" spans="1:24" x14ac:dyDescent="0.25">
      <c r="A29" s="91" t="s">
        <v>24</v>
      </c>
      <c r="B29" s="92">
        <v>3</v>
      </c>
      <c r="C29" s="93">
        <v>21</v>
      </c>
      <c r="D29" s="93">
        <v>21</v>
      </c>
      <c r="E29" s="93">
        <v>11</v>
      </c>
      <c r="F29" s="93">
        <v>23</v>
      </c>
      <c r="G29" s="93">
        <v>63</v>
      </c>
      <c r="H29" s="93">
        <v>49</v>
      </c>
      <c r="I29" s="93">
        <v>6</v>
      </c>
      <c r="J29" s="93">
        <v>38</v>
      </c>
      <c r="K29" s="93">
        <v>26</v>
      </c>
      <c r="L29" s="93">
        <v>24</v>
      </c>
      <c r="M29" s="93">
        <v>6</v>
      </c>
      <c r="N29" s="93">
        <v>14</v>
      </c>
      <c r="O29" s="93">
        <v>20</v>
      </c>
      <c r="P29" s="93">
        <v>22</v>
      </c>
      <c r="Q29" s="93">
        <v>2</v>
      </c>
      <c r="R29" s="93">
        <v>2</v>
      </c>
      <c r="S29" s="93">
        <v>8</v>
      </c>
      <c r="T29" s="93">
        <v>23</v>
      </c>
      <c r="U29" s="94">
        <v>3</v>
      </c>
      <c r="V29" s="93">
        <v>4</v>
      </c>
      <c r="W29" s="93" t="s">
        <v>59</v>
      </c>
      <c r="X29" s="96">
        <f>SUM(Tabla38[[#This Row],[2002]:[2023]])</f>
        <v>389</v>
      </c>
    </row>
    <row r="30" spans="1:24" ht="60" x14ac:dyDescent="0.25">
      <c r="A30" s="91" t="s">
        <v>29</v>
      </c>
      <c r="B30" s="92">
        <v>6</v>
      </c>
      <c r="C30" s="93">
        <v>4</v>
      </c>
      <c r="D30" s="93">
        <v>13</v>
      </c>
      <c r="E30" s="93">
        <v>3</v>
      </c>
      <c r="F30" s="93">
        <v>19</v>
      </c>
      <c r="G30" s="93">
        <v>20</v>
      </c>
      <c r="H30" s="93">
        <v>10</v>
      </c>
      <c r="I30" s="93">
        <v>29</v>
      </c>
      <c r="J30" s="93">
        <v>5</v>
      </c>
      <c r="K30" s="93">
        <v>9</v>
      </c>
      <c r="L30" s="93">
        <v>6</v>
      </c>
      <c r="M30" s="93" t="s">
        <v>59</v>
      </c>
      <c r="N30" s="93">
        <v>6</v>
      </c>
      <c r="O30" s="93">
        <v>46</v>
      </c>
      <c r="P30" s="93">
        <v>51</v>
      </c>
      <c r="Q30" s="93">
        <v>18</v>
      </c>
      <c r="R30" s="93">
        <v>15</v>
      </c>
      <c r="S30" s="93">
        <v>15</v>
      </c>
      <c r="T30" s="93">
        <v>15</v>
      </c>
      <c r="U30" s="94">
        <v>10</v>
      </c>
      <c r="V30" s="93">
        <v>3</v>
      </c>
      <c r="W30" s="93" t="s">
        <v>59</v>
      </c>
      <c r="X30" s="96">
        <f>SUM(Tabla38[[#This Row],[2002]:[2023]])</f>
        <v>303</v>
      </c>
    </row>
    <row r="31" spans="1:24" ht="60" x14ac:dyDescent="0.25">
      <c r="A31" s="91" t="s">
        <v>30</v>
      </c>
      <c r="B31" s="92">
        <v>45</v>
      </c>
      <c r="C31" s="93">
        <v>15</v>
      </c>
      <c r="D31" s="93">
        <v>3</v>
      </c>
      <c r="E31" s="93">
        <v>21</v>
      </c>
      <c r="F31" s="93">
        <v>24</v>
      </c>
      <c r="G31" s="93">
        <v>17</v>
      </c>
      <c r="H31" s="93">
        <v>67</v>
      </c>
      <c r="I31" s="93">
        <v>16</v>
      </c>
      <c r="J31" s="93" t="s">
        <v>59</v>
      </c>
      <c r="K31" s="93">
        <v>7</v>
      </c>
      <c r="L31" s="93">
        <v>16</v>
      </c>
      <c r="M31" s="93">
        <v>6</v>
      </c>
      <c r="N31" s="93">
        <v>7</v>
      </c>
      <c r="O31" s="93" t="s">
        <v>59</v>
      </c>
      <c r="P31" s="93">
        <v>17</v>
      </c>
      <c r="Q31" s="93">
        <v>19</v>
      </c>
      <c r="R31" s="93">
        <v>5</v>
      </c>
      <c r="S31" s="93">
        <v>16</v>
      </c>
      <c r="T31" s="93" t="s">
        <v>59</v>
      </c>
      <c r="U31" s="94" t="s">
        <v>59</v>
      </c>
      <c r="V31" s="93" t="s">
        <v>59</v>
      </c>
      <c r="W31" s="93" t="s">
        <v>59</v>
      </c>
      <c r="X31" s="96">
        <f>SUM(Tabla38[[#This Row],[2002]:[2023]])</f>
        <v>301</v>
      </c>
    </row>
    <row r="32" spans="1:24" ht="45" x14ac:dyDescent="0.25">
      <c r="A32" s="91" t="s">
        <v>28</v>
      </c>
      <c r="B32" s="92">
        <v>16</v>
      </c>
      <c r="C32" s="93" t="s">
        <v>59</v>
      </c>
      <c r="D32" s="93">
        <v>5</v>
      </c>
      <c r="E32" s="93">
        <v>1</v>
      </c>
      <c r="F32" s="93">
        <v>15</v>
      </c>
      <c r="G32" s="93">
        <v>9</v>
      </c>
      <c r="H32" s="93" t="s">
        <v>59</v>
      </c>
      <c r="I32" s="93">
        <v>11</v>
      </c>
      <c r="J32" s="93">
        <v>10</v>
      </c>
      <c r="K32" s="93">
        <v>8</v>
      </c>
      <c r="L32" s="93" t="s">
        <v>59</v>
      </c>
      <c r="M32" s="93" t="s">
        <v>59</v>
      </c>
      <c r="N32" s="93">
        <v>2</v>
      </c>
      <c r="O32" s="93">
        <v>22</v>
      </c>
      <c r="P32" s="93" t="s">
        <v>59</v>
      </c>
      <c r="Q32" s="93">
        <v>12</v>
      </c>
      <c r="R32" s="93" t="s">
        <v>59</v>
      </c>
      <c r="S32" s="93">
        <v>19</v>
      </c>
      <c r="T32" s="93">
        <v>10</v>
      </c>
      <c r="U32" s="94">
        <v>12</v>
      </c>
      <c r="V32" s="93">
        <v>13</v>
      </c>
      <c r="W32" s="93" t="s">
        <v>59</v>
      </c>
      <c r="X32" s="96">
        <f>SUM(Tabla38[[#This Row],[2002]:[2023]])</f>
        <v>165</v>
      </c>
    </row>
    <row r="33" spans="1:24" ht="45" x14ac:dyDescent="0.25">
      <c r="A33" s="91" t="s">
        <v>32</v>
      </c>
      <c r="B33" s="92">
        <v>6</v>
      </c>
      <c r="C33" s="93">
        <v>12</v>
      </c>
      <c r="D33" s="93" t="s">
        <v>59</v>
      </c>
      <c r="E33" s="93">
        <v>1</v>
      </c>
      <c r="F33" s="93">
        <v>4</v>
      </c>
      <c r="G33" s="93" t="s">
        <v>59</v>
      </c>
      <c r="H33" s="93">
        <v>2</v>
      </c>
      <c r="I33" s="93">
        <v>4</v>
      </c>
      <c r="J33" s="93">
        <v>2</v>
      </c>
      <c r="K33" s="93" t="s">
        <v>59</v>
      </c>
      <c r="L33" s="93">
        <v>2</v>
      </c>
      <c r="M33" s="93" t="s">
        <v>59</v>
      </c>
      <c r="N33" s="93">
        <v>2</v>
      </c>
      <c r="O33" s="93" t="s">
        <v>59</v>
      </c>
      <c r="P33" s="93">
        <v>1</v>
      </c>
      <c r="Q33" s="93" t="s">
        <v>59</v>
      </c>
      <c r="R33" s="93">
        <v>9</v>
      </c>
      <c r="S33" s="93">
        <v>7</v>
      </c>
      <c r="T33" s="93" t="s">
        <v>59</v>
      </c>
      <c r="U33" s="94" t="s">
        <v>59</v>
      </c>
      <c r="V33" s="93" t="s">
        <v>59</v>
      </c>
      <c r="W33" s="93" t="s">
        <v>59</v>
      </c>
      <c r="X33" s="96">
        <f>SUM(Tabla38[[#This Row],[2002]:[2023]])</f>
        <v>52</v>
      </c>
    </row>
    <row r="34" spans="1:24" x14ac:dyDescent="0.25">
      <c r="A34" s="91" t="s">
        <v>35</v>
      </c>
      <c r="B34" s="97">
        <f>SUBTOTAL(109,B5:B33)</f>
        <v>2227</v>
      </c>
      <c r="C34" s="97">
        <f t="shared" ref="C34:W34" si="0">SUBTOTAL(109,C5:C33)</f>
        <v>1957</v>
      </c>
      <c r="D34" s="97">
        <f t="shared" si="0"/>
        <v>2554</v>
      </c>
      <c r="E34" s="97">
        <f t="shared" si="0"/>
        <v>3810</v>
      </c>
      <c r="F34" s="97">
        <f t="shared" si="0"/>
        <v>6078</v>
      </c>
      <c r="G34" s="97">
        <f t="shared" si="0"/>
        <v>6176</v>
      </c>
      <c r="H34" s="97">
        <f t="shared" si="0"/>
        <v>5105</v>
      </c>
      <c r="I34" s="97">
        <f t="shared" si="0"/>
        <v>4568</v>
      </c>
      <c r="J34" s="97">
        <f t="shared" si="0"/>
        <v>5734</v>
      </c>
      <c r="K34" s="97">
        <f t="shared" si="0"/>
        <v>5312</v>
      </c>
      <c r="L34" s="97">
        <f t="shared" si="0"/>
        <v>5215</v>
      </c>
      <c r="M34" s="97">
        <f t="shared" si="0"/>
        <v>5299</v>
      </c>
      <c r="N34" s="97">
        <f t="shared" si="0"/>
        <v>2234</v>
      </c>
      <c r="O34" s="97">
        <f t="shared" si="0"/>
        <v>2772</v>
      </c>
      <c r="P34" s="97">
        <f t="shared" si="0"/>
        <v>3278</v>
      </c>
      <c r="Q34" s="97">
        <f t="shared" si="0"/>
        <v>2415</v>
      </c>
      <c r="R34" s="97">
        <f t="shared" si="0"/>
        <v>2225</v>
      </c>
      <c r="S34" s="97">
        <f t="shared" si="0"/>
        <v>1737</v>
      </c>
      <c r="T34" s="97">
        <f t="shared" si="0"/>
        <v>1598</v>
      </c>
      <c r="U34" s="97">
        <f t="shared" si="0"/>
        <v>1801</v>
      </c>
      <c r="V34" s="97">
        <f t="shared" si="0"/>
        <v>1280</v>
      </c>
      <c r="W34" s="97">
        <f t="shared" si="0"/>
        <v>65</v>
      </c>
      <c r="X34" s="96">
        <f>SUM(X5:X33)</f>
        <v>73440</v>
      </c>
    </row>
  </sheetData>
  <mergeCells count="3">
    <mergeCell ref="A3:A4"/>
    <mergeCell ref="B3:W3"/>
    <mergeCell ref="X3:X4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B2EE-8F87-41ED-83FB-F8F4B40F29E1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AC6B-8674-416F-A29D-4F90675C5FFC}">
  <dimension ref="A2:E24"/>
  <sheetViews>
    <sheetView workbookViewId="0">
      <selection activeCell="D2" sqref="D2"/>
    </sheetView>
  </sheetViews>
  <sheetFormatPr baseColWidth="10" defaultRowHeight="15" x14ac:dyDescent="0.25"/>
  <cols>
    <col min="2" max="2" width="15.85546875" customWidth="1"/>
    <col min="3" max="3" width="14.5703125" customWidth="1"/>
  </cols>
  <sheetData>
    <row r="2" spans="1:5" ht="30" x14ac:dyDescent="0.25">
      <c r="A2" s="32" t="s">
        <v>61</v>
      </c>
      <c r="B2" s="33" t="s">
        <v>79</v>
      </c>
      <c r="C2" s="33" t="s">
        <v>80</v>
      </c>
      <c r="D2" s="33" t="s">
        <v>81</v>
      </c>
      <c r="E2" s="34" t="s">
        <v>35</v>
      </c>
    </row>
    <row r="3" spans="1:5" x14ac:dyDescent="0.25">
      <c r="A3" s="10" t="s">
        <v>37</v>
      </c>
      <c r="B3" s="37">
        <v>0</v>
      </c>
      <c r="C3" s="37">
        <v>0</v>
      </c>
      <c r="D3" s="36">
        <v>278</v>
      </c>
      <c r="E3" s="99">
        <f>SUM(Tabla19[[#This Row],[En proceso 
de Notificación]:[Concluidas]])</f>
        <v>278</v>
      </c>
    </row>
    <row r="4" spans="1:5" x14ac:dyDescent="0.25">
      <c r="A4" s="10" t="s">
        <v>38</v>
      </c>
      <c r="B4" s="37">
        <v>0</v>
      </c>
      <c r="C4" s="37">
        <v>0</v>
      </c>
      <c r="D4" s="36">
        <v>338</v>
      </c>
      <c r="E4" s="99">
        <f>SUM(Tabla19[[#This Row],[En proceso 
de Notificación]:[Concluidas]])</f>
        <v>338</v>
      </c>
    </row>
    <row r="5" spans="1:5" x14ac:dyDescent="0.25">
      <c r="A5" s="10" t="s">
        <v>39</v>
      </c>
      <c r="B5" s="37">
        <v>0</v>
      </c>
      <c r="C5" s="37">
        <v>0</v>
      </c>
      <c r="D5" s="36">
        <v>510</v>
      </c>
      <c r="E5" s="99">
        <f>SUM(Tabla19[[#This Row],[En proceso 
de Notificación]:[Concluidas]])</f>
        <v>510</v>
      </c>
    </row>
    <row r="6" spans="1:5" x14ac:dyDescent="0.25">
      <c r="A6" s="10" t="s">
        <v>40</v>
      </c>
      <c r="B6" s="37">
        <v>0</v>
      </c>
      <c r="C6" s="37">
        <v>0</v>
      </c>
      <c r="D6" s="36">
        <v>459</v>
      </c>
      <c r="E6" s="99">
        <f>SUM(Tabla19[[#This Row],[En proceso 
de Notificación]:[Concluidas]])</f>
        <v>459</v>
      </c>
    </row>
    <row r="7" spans="1:5" x14ac:dyDescent="0.25">
      <c r="A7" s="10" t="s">
        <v>41</v>
      </c>
      <c r="B7" s="37">
        <v>0</v>
      </c>
      <c r="C7" s="37">
        <v>0</v>
      </c>
      <c r="D7" s="36">
        <v>606</v>
      </c>
      <c r="E7" s="99">
        <f>SUM(Tabla19[[#This Row],[En proceso 
de Notificación]:[Concluidas]])</f>
        <v>606</v>
      </c>
    </row>
    <row r="8" spans="1:5" x14ac:dyDescent="0.25">
      <c r="A8" s="10" t="s">
        <v>42</v>
      </c>
      <c r="B8" s="37">
        <v>0</v>
      </c>
      <c r="C8" s="37">
        <v>0</v>
      </c>
      <c r="D8" s="36">
        <v>1444</v>
      </c>
      <c r="E8" s="99">
        <f>SUM(Tabla19[[#This Row],[En proceso 
de Notificación]:[Concluidas]])</f>
        <v>1444</v>
      </c>
    </row>
    <row r="9" spans="1:5" x14ac:dyDescent="0.25">
      <c r="A9" s="10" t="s">
        <v>43</v>
      </c>
      <c r="B9" s="37">
        <v>0</v>
      </c>
      <c r="C9" s="37">
        <v>0</v>
      </c>
      <c r="D9" s="36">
        <v>1191</v>
      </c>
      <c r="E9" s="99">
        <f>SUM(Tabla19[[#This Row],[En proceso 
de Notificación]:[Concluidas]])</f>
        <v>1191</v>
      </c>
    </row>
    <row r="10" spans="1:5" x14ac:dyDescent="0.25">
      <c r="A10" s="10" t="s">
        <v>44</v>
      </c>
      <c r="B10" s="37">
        <v>0</v>
      </c>
      <c r="C10" s="37">
        <v>0</v>
      </c>
      <c r="D10" s="36">
        <v>1341</v>
      </c>
      <c r="E10" s="99">
        <f>SUM(Tabla19[[#This Row],[En proceso 
de Notificación]:[Concluidas]])</f>
        <v>1341</v>
      </c>
    </row>
    <row r="11" spans="1:5" x14ac:dyDescent="0.25">
      <c r="A11" s="10" t="s">
        <v>45</v>
      </c>
      <c r="B11" s="37">
        <v>0</v>
      </c>
      <c r="C11" s="37">
        <v>0</v>
      </c>
      <c r="D11" s="36">
        <v>1201</v>
      </c>
      <c r="E11" s="99">
        <f>SUM(Tabla19[[#This Row],[En proceso 
de Notificación]:[Concluidas]])</f>
        <v>1201</v>
      </c>
    </row>
    <row r="12" spans="1:5" x14ac:dyDescent="0.25">
      <c r="A12" s="10" t="s">
        <v>46</v>
      </c>
      <c r="B12" s="37">
        <v>0</v>
      </c>
      <c r="C12" s="37">
        <v>0</v>
      </c>
      <c r="D12" s="36">
        <v>1057</v>
      </c>
      <c r="E12" s="99">
        <f>SUM(Tabla19[[#This Row],[En proceso 
de Notificación]:[Concluidas]])</f>
        <v>1057</v>
      </c>
    </row>
    <row r="13" spans="1:5" x14ac:dyDescent="0.25">
      <c r="A13" s="10" t="s">
        <v>47</v>
      </c>
      <c r="B13" s="37">
        <v>0</v>
      </c>
      <c r="C13" s="37">
        <v>0</v>
      </c>
      <c r="D13" s="36">
        <v>1349</v>
      </c>
      <c r="E13" s="99">
        <f>SUM(Tabla19[[#This Row],[En proceso 
de Notificación]:[Concluidas]])</f>
        <v>1349</v>
      </c>
    </row>
    <row r="14" spans="1:5" x14ac:dyDescent="0.25">
      <c r="A14" s="10" t="s">
        <v>48</v>
      </c>
      <c r="B14" s="37">
        <v>0</v>
      </c>
      <c r="C14" s="37">
        <v>0</v>
      </c>
      <c r="D14" s="36">
        <v>1603</v>
      </c>
      <c r="E14" s="99">
        <f>SUM(Tabla19[[#This Row],[En proceso 
de Notificación]:[Concluidas]])</f>
        <v>1603</v>
      </c>
    </row>
    <row r="15" spans="1:5" x14ac:dyDescent="0.25">
      <c r="A15" s="10" t="s">
        <v>49</v>
      </c>
      <c r="B15" s="37">
        <v>0</v>
      </c>
      <c r="C15" s="37">
        <v>0</v>
      </c>
      <c r="D15" s="36">
        <v>1132</v>
      </c>
      <c r="E15" s="99">
        <f>SUM(Tabla19[[#This Row],[En proceso 
de Notificación]:[Concluidas]])</f>
        <v>1132</v>
      </c>
    </row>
    <row r="16" spans="1:5" x14ac:dyDescent="0.25">
      <c r="A16" s="10" t="s">
        <v>50</v>
      </c>
      <c r="B16" s="37">
        <v>0</v>
      </c>
      <c r="C16" s="37">
        <v>0</v>
      </c>
      <c r="D16" s="36">
        <v>1207</v>
      </c>
      <c r="E16" s="99">
        <f>SUM(Tabla19[[#This Row],[En proceso 
de Notificación]:[Concluidas]])</f>
        <v>1207</v>
      </c>
    </row>
    <row r="17" spans="1:5" x14ac:dyDescent="0.25">
      <c r="A17" s="10" t="s">
        <v>51</v>
      </c>
      <c r="B17" s="37">
        <v>0</v>
      </c>
      <c r="C17" s="37">
        <v>0</v>
      </c>
      <c r="D17" s="36">
        <v>1175</v>
      </c>
      <c r="E17" s="99">
        <f>SUM(Tabla19[[#This Row],[En proceso 
de Notificación]:[Concluidas]])</f>
        <v>1175</v>
      </c>
    </row>
    <row r="18" spans="1:5" x14ac:dyDescent="0.25">
      <c r="A18" s="10" t="s">
        <v>52</v>
      </c>
      <c r="B18" s="37">
        <v>0</v>
      </c>
      <c r="C18" s="37">
        <v>0</v>
      </c>
      <c r="D18" s="36">
        <v>2031</v>
      </c>
      <c r="E18" s="99">
        <f>SUM(Tabla19[[#This Row],[En proceso 
de Notificación]:[Concluidas]])</f>
        <v>2031</v>
      </c>
    </row>
    <row r="19" spans="1:5" x14ac:dyDescent="0.25">
      <c r="A19" s="10" t="s">
        <v>53</v>
      </c>
      <c r="B19" s="37">
        <v>0</v>
      </c>
      <c r="C19" s="37">
        <v>0</v>
      </c>
      <c r="D19" s="36">
        <v>2788</v>
      </c>
      <c r="E19" s="99">
        <f>SUM(Tabla19[[#This Row],[En proceso 
de Notificación]:[Concluidas]])</f>
        <v>2788</v>
      </c>
    </row>
    <row r="20" spans="1:5" x14ac:dyDescent="0.25">
      <c r="A20" s="10" t="s">
        <v>54</v>
      </c>
      <c r="B20" s="37">
        <v>0</v>
      </c>
      <c r="C20" s="37">
        <v>0</v>
      </c>
      <c r="D20" s="36">
        <v>2026</v>
      </c>
      <c r="E20" s="99">
        <f>SUM(Tabla19[[#This Row],[En proceso 
de Notificación]:[Concluidas]])</f>
        <v>2026</v>
      </c>
    </row>
    <row r="21" spans="1:5" x14ac:dyDescent="0.25">
      <c r="A21" s="10" t="s">
        <v>55</v>
      </c>
      <c r="B21" s="37">
        <v>0</v>
      </c>
      <c r="C21" s="37">
        <v>0</v>
      </c>
      <c r="D21" s="36">
        <v>846</v>
      </c>
      <c r="E21" s="99">
        <f>SUM(Tabla19[[#This Row],[En proceso 
de Notificación]:[Concluidas]])</f>
        <v>846</v>
      </c>
    </row>
    <row r="22" spans="1:5" x14ac:dyDescent="0.25">
      <c r="A22" s="10" t="s">
        <v>56</v>
      </c>
      <c r="B22" s="37">
        <v>0</v>
      </c>
      <c r="C22" s="37">
        <v>0</v>
      </c>
      <c r="D22" s="36">
        <v>516</v>
      </c>
      <c r="E22" s="99">
        <f>SUM(Tabla19[[#This Row],[En proceso 
de Notificación]:[Concluidas]])</f>
        <v>516</v>
      </c>
    </row>
    <row r="23" spans="1:5" x14ac:dyDescent="0.25">
      <c r="A23" s="10" t="s">
        <v>57</v>
      </c>
      <c r="B23" s="37">
        <v>0</v>
      </c>
      <c r="C23" s="37">
        <v>53</v>
      </c>
      <c r="D23" s="100">
        <v>503</v>
      </c>
      <c r="E23" s="99">
        <f>SUM(Tabla19[[#This Row],[En proceso 
de Notificación]:[Concluidas]])</f>
        <v>556</v>
      </c>
    </row>
    <row r="24" spans="1:5" x14ac:dyDescent="0.25">
      <c r="A24" s="81" t="s">
        <v>35</v>
      </c>
      <c r="B24" s="49">
        <f>SUBTOTAL(109,B3:B23)</f>
        <v>0</v>
      </c>
      <c r="C24" s="49">
        <f t="shared" ref="C24:D24" si="0">SUBTOTAL(109,C3:C23)</f>
        <v>53</v>
      </c>
      <c r="D24" s="48">
        <f t="shared" si="0"/>
        <v>23601</v>
      </c>
      <c r="E24" s="99">
        <f>SUM(Tabla19[[#This Row],[En proceso 
de Notificación]:[Concluidas]])</f>
        <v>23654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358B-FE20-4F55-B7C1-647D65FB0B3A}">
  <dimension ref="B2:X33"/>
  <sheetViews>
    <sheetView topLeftCell="A27" workbookViewId="0">
      <selection activeCell="G37" sqref="G37"/>
    </sheetView>
  </sheetViews>
  <sheetFormatPr baseColWidth="10" defaultRowHeight="15" x14ac:dyDescent="0.25"/>
  <cols>
    <col min="2" max="2" width="40" customWidth="1"/>
    <col min="3" max="24" width="6.42578125" customWidth="1"/>
  </cols>
  <sheetData>
    <row r="2" spans="2:24" x14ac:dyDescent="0.25">
      <c r="B2" s="83" t="s">
        <v>0</v>
      </c>
      <c r="C2" s="101" t="s">
        <v>36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  <c r="X2" s="87" t="s">
        <v>35</v>
      </c>
    </row>
    <row r="3" spans="2:24" x14ac:dyDescent="0.25">
      <c r="B3" s="83"/>
      <c r="C3" s="98" t="s">
        <v>37</v>
      </c>
      <c r="D3" s="98" t="s">
        <v>38</v>
      </c>
      <c r="E3" s="98" t="s">
        <v>39</v>
      </c>
      <c r="F3" s="98" t="s">
        <v>40</v>
      </c>
      <c r="G3" s="98" t="s">
        <v>41</v>
      </c>
      <c r="H3" s="98" t="s">
        <v>42</v>
      </c>
      <c r="I3" s="98" t="s">
        <v>43</v>
      </c>
      <c r="J3" s="98" t="s">
        <v>44</v>
      </c>
      <c r="K3" s="98" t="s">
        <v>45</v>
      </c>
      <c r="L3" s="98" t="s">
        <v>46</v>
      </c>
      <c r="M3" s="98" t="s">
        <v>47</v>
      </c>
      <c r="N3" s="98" t="s">
        <v>48</v>
      </c>
      <c r="O3" s="98" t="s">
        <v>49</v>
      </c>
      <c r="P3" s="98" t="s">
        <v>50</v>
      </c>
      <c r="Q3" s="98" t="s">
        <v>51</v>
      </c>
      <c r="R3" s="98" t="s">
        <v>52</v>
      </c>
      <c r="S3" s="98" t="s">
        <v>53</v>
      </c>
      <c r="T3" s="98" t="s">
        <v>54</v>
      </c>
      <c r="U3" s="98" t="s">
        <v>55</v>
      </c>
      <c r="V3" s="98" t="s">
        <v>56</v>
      </c>
      <c r="W3" s="104" t="s">
        <v>57</v>
      </c>
      <c r="X3" s="87"/>
    </row>
    <row r="4" spans="2:24" ht="30" x14ac:dyDescent="0.25">
      <c r="B4" s="91" t="s">
        <v>9</v>
      </c>
      <c r="C4" s="93">
        <v>21</v>
      </c>
      <c r="D4" s="93">
        <v>36</v>
      </c>
      <c r="E4" s="93">
        <v>70</v>
      </c>
      <c r="F4" s="93">
        <v>39</v>
      </c>
      <c r="G4" s="93">
        <v>67</v>
      </c>
      <c r="H4" s="93">
        <v>42</v>
      </c>
      <c r="I4" s="93">
        <v>141</v>
      </c>
      <c r="J4" s="93">
        <v>171</v>
      </c>
      <c r="K4" s="93">
        <v>177</v>
      </c>
      <c r="L4" s="93">
        <v>136</v>
      </c>
      <c r="M4" s="93">
        <v>276</v>
      </c>
      <c r="N4" s="93">
        <v>165</v>
      </c>
      <c r="O4" s="93">
        <v>263</v>
      </c>
      <c r="P4" s="93">
        <v>346</v>
      </c>
      <c r="Q4" s="93">
        <v>249</v>
      </c>
      <c r="R4" s="93">
        <v>320</v>
      </c>
      <c r="S4" s="93">
        <v>406</v>
      </c>
      <c r="T4" s="93">
        <v>114</v>
      </c>
      <c r="U4" s="93">
        <v>127</v>
      </c>
      <c r="V4" s="93">
        <v>71</v>
      </c>
      <c r="W4" s="95">
        <v>73</v>
      </c>
      <c r="X4" s="96">
        <f>SUM(Tabla39[[#This Row],[2002]:[2022]])</f>
        <v>3310</v>
      </c>
    </row>
    <row r="5" spans="2:24" x14ac:dyDescent="0.25">
      <c r="B5" s="91" t="s">
        <v>11</v>
      </c>
      <c r="C5" s="93">
        <v>16</v>
      </c>
      <c r="D5" s="93">
        <v>4</v>
      </c>
      <c r="E5" s="93">
        <v>30</v>
      </c>
      <c r="F5" s="93">
        <v>20</v>
      </c>
      <c r="G5" s="93">
        <v>49</v>
      </c>
      <c r="H5" s="93">
        <v>40</v>
      </c>
      <c r="I5" s="93">
        <v>73</v>
      </c>
      <c r="J5" s="93">
        <v>54</v>
      </c>
      <c r="K5" s="93">
        <v>53</v>
      </c>
      <c r="L5" s="93">
        <v>213</v>
      </c>
      <c r="M5" s="93">
        <v>194</v>
      </c>
      <c r="N5" s="93">
        <v>403</v>
      </c>
      <c r="O5" s="93">
        <v>97</v>
      </c>
      <c r="P5" s="93">
        <v>94</v>
      </c>
      <c r="Q5" s="93">
        <v>99</v>
      </c>
      <c r="R5" s="93">
        <v>157</v>
      </c>
      <c r="S5" s="93">
        <v>394</v>
      </c>
      <c r="T5" s="93">
        <v>229</v>
      </c>
      <c r="U5" s="93">
        <v>162</v>
      </c>
      <c r="V5" s="93">
        <v>63</v>
      </c>
      <c r="W5" s="93">
        <v>145</v>
      </c>
      <c r="X5" s="96">
        <f>SUM(Tabla39[[#This Row],[2002]:[2022]])</f>
        <v>2589</v>
      </c>
    </row>
    <row r="6" spans="2:24" ht="90" x14ac:dyDescent="0.25">
      <c r="B6" s="91" t="s">
        <v>12</v>
      </c>
      <c r="C6" s="93">
        <v>4</v>
      </c>
      <c r="D6" s="93">
        <v>28</v>
      </c>
      <c r="E6" s="93">
        <v>48</v>
      </c>
      <c r="F6" s="93">
        <v>31</v>
      </c>
      <c r="G6" s="93">
        <v>42</v>
      </c>
      <c r="H6" s="93">
        <v>62</v>
      </c>
      <c r="I6" s="93">
        <v>119</v>
      </c>
      <c r="J6" s="93">
        <v>141</v>
      </c>
      <c r="K6" s="93">
        <v>75</v>
      </c>
      <c r="L6" s="93">
        <v>165</v>
      </c>
      <c r="M6" s="93">
        <v>80</v>
      </c>
      <c r="N6" s="93">
        <v>237</v>
      </c>
      <c r="O6" s="93">
        <v>175</v>
      </c>
      <c r="P6" s="93">
        <v>88</v>
      </c>
      <c r="Q6" s="93">
        <v>135</v>
      </c>
      <c r="R6" s="93">
        <v>135</v>
      </c>
      <c r="S6" s="93">
        <v>317</v>
      </c>
      <c r="T6" s="93">
        <v>227</v>
      </c>
      <c r="U6" s="93">
        <v>30</v>
      </c>
      <c r="V6" s="93">
        <v>24</v>
      </c>
      <c r="W6" s="93">
        <v>12</v>
      </c>
      <c r="X6" s="96">
        <f>SUM(Tabla39[[#This Row],[2002]:[2022]])</f>
        <v>2175</v>
      </c>
    </row>
    <row r="7" spans="2:24" ht="60" x14ac:dyDescent="0.25">
      <c r="B7" s="91" t="s">
        <v>6</v>
      </c>
      <c r="C7" s="93">
        <v>11</v>
      </c>
      <c r="D7" s="93">
        <v>17</v>
      </c>
      <c r="E7" s="93">
        <v>61</v>
      </c>
      <c r="F7" s="93">
        <v>13</v>
      </c>
      <c r="G7" s="93">
        <v>14</v>
      </c>
      <c r="H7" s="93">
        <v>63</v>
      </c>
      <c r="I7" s="93">
        <v>48</v>
      </c>
      <c r="J7" s="93">
        <v>78</v>
      </c>
      <c r="K7" s="93">
        <v>64</v>
      </c>
      <c r="L7" s="93">
        <v>54</v>
      </c>
      <c r="M7" s="93">
        <v>37</v>
      </c>
      <c r="N7" s="93">
        <v>29</v>
      </c>
      <c r="O7" s="93">
        <v>75</v>
      </c>
      <c r="P7" s="93">
        <v>44</v>
      </c>
      <c r="Q7" s="93">
        <v>52</v>
      </c>
      <c r="R7" s="93">
        <v>82</v>
      </c>
      <c r="S7" s="93">
        <v>333</v>
      </c>
      <c r="T7" s="93">
        <v>172</v>
      </c>
      <c r="U7" s="93">
        <v>43</v>
      </c>
      <c r="V7" s="93">
        <v>19</v>
      </c>
      <c r="W7" s="93">
        <v>10</v>
      </c>
      <c r="X7" s="96">
        <f>SUM(Tabla39[[#This Row],[2002]:[2022]])</f>
        <v>1319</v>
      </c>
    </row>
    <row r="8" spans="2:24" ht="45" x14ac:dyDescent="0.25">
      <c r="B8" s="91" t="s">
        <v>5</v>
      </c>
      <c r="C8" s="93">
        <v>49</v>
      </c>
      <c r="D8" s="93">
        <v>43</v>
      </c>
      <c r="E8" s="93">
        <v>21</v>
      </c>
      <c r="F8" s="93">
        <v>51</v>
      </c>
      <c r="G8" s="93">
        <v>36</v>
      </c>
      <c r="H8" s="93">
        <v>97</v>
      </c>
      <c r="I8" s="93">
        <v>88</v>
      </c>
      <c r="J8" s="93">
        <v>68</v>
      </c>
      <c r="K8" s="93">
        <v>96</v>
      </c>
      <c r="L8" s="93">
        <v>42</v>
      </c>
      <c r="M8" s="93">
        <v>81</v>
      </c>
      <c r="N8" s="93">
        <v>21</v>
      </c>
      <c r="O8" s="93">
        <v>28</v>
      </c>
      <c r="P8" s="93">
        <v>18</v>
      </c>
      <c r="Q8" s="93">
        <v>6</v>
      </c>
      <c r="R8" s="93">
        <v>77</v>
      </c>
      <c r="S8" s="93">
        <v>134</v>
      </c>
      <c r="T8" s="93">
        <v>184</v>
      </c>
      <c r="U8" s="93">
        <v>98</v>
      </c>
      <c r="V8" s="93">
        <v>33</v>
      </c>
      <c r="W8" s="93">
        <v>12</v>
      </c>
      <c r="X8" s="96">
        <f>SUM(Tabla39[[#This Row],[2002]:[2022]])</f>
        <v>1283</v>
      </c>
    </row>
    <row r="9" spans="2:24" ht="60" x14ac:dyDescent="0.25">
      <c r="B9" s="91" t="s">
        <v>13</v>
      </c>
      <c r="C9" s="93">
        <v>9</v>
      </c>
      <c r="D9" s="93">
        <v>30</v>
      </c>
      <c r="E9" s="93">
        <v>41</v>
      </c>
      <c r="F9" s="93">
        <v>27</v>
      </c>
      <c r="G9" s="93">
        <v>13</v>
      </c>
      <c r="H9" s="93">
        <v>16</v>
      </c>
      <c r="I9" s="93">
        <v>22</v>
      </c>
      <c r="J9" s="93">
        <v>61</v>
      </c>
      <c r="K9" s="93">
        <v>80</v>
      </c>
      <c r="L9" s="93">
        <v>49</v>
      </c>
      <c r="M9" s="93">
        <v>127</v>
      </c>
      <c r="N9" s="93">
        <v>99</v>
      </c>
      <c r="O9" s="93">
        <v>47</v>
      </c>
      <c r="P9" s="93">
        <v>57</v>
      </c>
      <c r="Q9" s="93">
        <v>81</v>
      </c>
      <c r="R9" s="93">
        <v>144</v>
      </c>
      <c r="S9" s="93">
        <v>194</v>
      </c>
      <c r="T9" s="93">
        <v>41</v>
      </c>
      <c r="U9" s="93">
        <v>14</v>
      </c>
      <c r="V9" s="93">
        <v>69</v>
      </c>
      <c r="W9" s="93">
        <v>40</v>
      </c>
      <c r="X9" s="96">
        <f>SUM(Tabla39[[#This Row],[2002]:[2022]])</f>
        <v>1261</v>
      </c>
    </row>
    <row r="10" spans="2:24" ht="90" x14ac:dyDescent="0.25">
      <c r="B10" s="91" t="s">
        <v>10</v>
      </c>
      <c r="C10" s="93">
        <v>54</v>
      </c>
      <c r="D10" s="93">
        <v>44</v>
      </c>
      <c r="E10" s="93">
        <v>20</v>
      </c>
      <c r="F10" s="93">
        <v>19</v>
      </c>
      <c r="G10" s="93">
        <v>51</v>
      </c>
      <c r="H10" s="93">
        <v>37</v>
      </c>
      <c r="I10" s="93">
        <v>53</v>
      </c>
      <c r="J10" s="93">
        <v>64</v>
      </c>
      <c r="K10" s="93">
        <v>83</v>
      </c>
      <c r="L10" s="93">
        <v>52</v>
      </c>
      <c r="M10" s="93">
        <v>36</v>
      </c>
      <c r="N10" s="93">
        <v>22</v>
      </c>
      <c r="O10" s="93">
        <v>90</v>
      </c>
      <c r="P10" s="93">
        <v>83</v>
      </c>
      <c r="Q10" s="93">
        <v>34</v>
      </c>
      <c r="R10" s="93">
        <v>86</v>
      </c>
      <c r="S10" s="93">
        <v>246</v>
      </c>
      <c r="T10" s="93">
        <v>22</v>
      </c>
      <c r="U10" s="93">
        <v>69</v>
      </c>
      <c r="V10" s="93">
        <v>22</v>
      </c>
      <c r="W10" s="93">
        <v>29</v>
      </c>
      <c r="X10" s="96">
        <f>SUM(Tabla39[[#This Row],[2002]:[2022]])</f>
        <v>1216</v>
      </c>
    </row>
    <row r="11" spans="2:24" x14ac:dyDescent="0.25">
      <c r="B11" s="91" t="s">
        <v>15</v>
      </c>
      <c r="C11" s="93">
        <v>16</v>
      </c>
      <c r="D11" s="93">
        <v>23</v>
      </c>
      <c r="E11" s="93">
        <v>25</v>
      </c>
      <c r="F11" s="93">
        <v>20</v>
      </c>
      <c r="G11" s="93">
        <v>21</v>
      </c>
      <c r="H11" s="93">
        <v>18</v>
      </c>
      <c r="I11" s="93">
        <v>110</v>
      </c>
      <c r="J11" s="93">
        <v>64</v>
      </c>
      <c r="K11" s="93">
        <v>16</v>
      </c>
      <c r="L11" s="93">
        <v>32</v>
      </c>
      <c r="M11" s="93">
        <v>25</v>
      </c>
      <c r="N11" s="93">
        <v>177</v>
      </c>
      <c r="O11" s="93">
        <v>51</v>
      </c>
      <c r="P11" s="93">
        <v>35</v>
      </c>
      <c r="Q11" s="93">
        <v>182</v>
      </c>
      <c r="R11" s="93">
        <v>141</v>
      </c>
      <c r="S11" s="93">
        <v>25</v>
      </c>
      <c r="T11" s="93">
        <v>123</v>
      </c>
      <c r="U11" s="93">
        <v>43</v>
      </c>
      <c r="V11" s="93">
        <v>19</v>
      </c>
      <c r="W11" s="93">
        <v>32</v>
      </c>
      <c r="X11" s="96">
        <f>SUM(Tabla39[[#This Row],[2002]:[2022]])</f>
        <v>1198</v>
      </c>
    </row>
    <row r="12" spans="2:24" ht="90" x14ac:dyDescent="0.25">
      <c r="B12" s="91" t="s">
        <v>7</v>
      </c>
      <c r="C12" s="93">
        <v>14</v>
      </c>
      <c r="D12" s="93">
        <v>22</v>
      </c>
      <c r="E12" s="93">
        <v>57</v>
      </c>
      <c r="F12" s="93">
        <v>47</v>
      </c>
      <c r="G12" s="93">
        <v>33</v>
      </c>
      <c r="H12" s="93">
        <v>16</v>
      </c>
      <c r="I12" s="93">
        <v>104</v>
      </c>
      <c r="J12" s="93">
        <v>52</v>
      </c>
      <c r="K12" s="93">
        <v>70</v>
      </c>
      <c r="L12" s="93">
        <v>57</v>
      </c>
      <c r="M12" s="93">
        <v>19</v>
      </c>
      <c r="N12" s="93">
        <v>58</v>
      </c>
      <c r="O12" s="93">
        <v>23</v>
      </c>
      <c r="P12" s="93">
        <v>36</v>
      </c>
      <c r="Q12" s="93">
        <v>48</v>
      </c>
      <c r="R12" s="93">
        <v>7</v>
      </c>
      <c r="S12" s="93">
        <v>82</v>
      </c>
      <c r="T12" s="93">
        <v>216</v>
      </c>
      <c r="U12" s="93">
        <v>34</v>
      </c>
      <c r="V12" s="93">
        <v>20</v>
      </c>
      <c r="W12" s="93">
        <v>42</v>
      </c>
      <c r="X12" s="96">
        <f>SUM(Tabla39[[#This Row],[2002]:[2022]])</f>
        <v>1057</v>
      </c>
    </row>
    <row r="13" spans="2:24" x14ac:dyDescent="0.25">
      <c r="B13" s="91" t="s">
        <v>24</v>
      </c>
      <c r="C13" s="93">
        <v>10</v>
      </c>
      <c r="D13" s="93" t="s">
        <v>59</v>
      </c>
      <c r="E13" s="93" t="s">
        <v>59</v>
      </c>
      <c r="F13" s="93">
        <v>1</v>
      </c>
      <c r="G13" s="93">
        <v>16</v>
      </c>
      <c r="H13" s="93">
        <v>22</v>
      </c>
      <c r="I13" s="93">
        <v>21</v>
      </c>
      <c r="J13" s="93">
        <v>34</v>
      </c>
      <c r="K13" s="93">
        <v>121</v>
      </c>
      <c r="L13" s="93">
        <v>76</v>
      </c>
      <c r="M13" s="93">
        <v>90</v>
      </c>
      <c r="N13" s="93">
        <v>28</v>
      </c>
      <c r="O13" s="93" t="s">
        <v>59</v>
      </c>
      <c r="P13" s="93">
        <v>52</v>
      </c>
      <c r="Q13" s="93">
        <v>40</v>
      </c>
      <c r="R13" s="93">
        <v>349</v>
      </c>
      <c r="S13" s="93" t="s">
        <v>59</v>
      </c>
      <c r="T13" s="93">
        <v>58</v>
      </c>
      <c r="U13" s="93" t="s">
        <v>59</v>
      </c>
      <c r="V13" s="93">
        <v>35</v>
      </c>
      <c r="W13" s="93">
        <v>36</v>
      </c>
      <c r="X13" s="96">
        <f>SUM(Tabla39[[#This Row],[2002]:[2022]])</f>
        <v>989</v>
      </c>
    </row>
    <row r="14" spans="2:24" ht="75" x14ac:dyDescent="0.25">
      <c r="B14" s="91" t="s">
        <v>4</v>
      </c>
      <c r="C14" s="93" t="s">
        <v>59</v>
      </c>
      <c r="D14" s="93" t="s">
        <v>59</v>
      </c>
      <c r="E14" s="93" t="s">
        <v>59</v>
      </c>
      <c r="F14" s="93">
        <v>4</v>
      </c>
      <c r="G14" s="93">
        <v>51</v>
      </c>
      <c r="H14" s="93">
        <v>793</v>
      </c>
      <c r="I14" s="93">
        <v>64</v>
      </c>
      <c r="J14" s="93">
        <v>1</v>
      </c>
      <c r="K14" s="93" t="s">
        <v>59</v>
      </c>
      <c r="L14" s="93" t="s">
        <v>59</v>
      </c>
      <c r="M14" s="93" t="s">
        <v>59</v>
      </c>
      <c r="N14" s="93" t="s">
        <v>59</v>
      </c>
      <c r="O14" s="93" t="s">
        <v>59</v>
      </c>
      <c r="P14" s="93" t="s">
        <v>59</v>
      </c>
      <c r="Q14" s="93" t="s">
        <v>59</v>
      </c>
      <c r="R14" s="93" t="s">
        <v>59</v>
      </c>
      <c r="S14" s="93" t="s">
        <v>59</v>
      </c>
      <c r="T14" s="93" t="s">
        <v>59</v>
      </c>
      <c r="U14" s="93" t="s">
        <v>59</v>
      </c>
      <c r="V14" s="93" t="s">
        <v>59</v>
      </c>
      <c r="W14" s="93" t="s">
        <v>59</v>
      </c>
      <c r="X14" s="96">
        <f>SUM(Tabla39[[#This Row],[2002]:[2022]])</f>
        <v>913</v>
      </c>
    </row>
    <row r="15" spans="2:24" ht="90" x14ac:dyDescent="0.25">
      <c r="B15" s="91" t="s">
        <v>21</v>
      </c>
      <c r="C15" s="93">
        <v>5</v>
      </c>
      <c r="D15" s="93">
        <v>11</v>
      </c>
      <c r="E15" s="93">
        <v>14</v>
      </c>
      <c r="F15" s="93">
        <v>6</v>
      </c>
      <c r="G15" s="93">
        <v>14</v>
      </c>
      <c r="H15" s="93" t="s">
        <v>59</v>
      </c>
      <c r="I15" s="93">
        <v>41</v>
      </c>
      <c r="J15" s="93">
        <v>41</v>
      </c>
      <c r="K15" s="93">
        <v>54</v>
      </c>
      <c r="L15" s="93">
        <v>24</v>
      </c>
      <c r="M15" s="93">
        <v>41</v>
      </c>
      <c r="N15" s="93">
        <v>80</v>
      </c>
      <c r="O15" s="93">
        <v>72</v>
      </c>
      <c r="P15" s="93">
        <v>52</v>
      </c>
      <c r="Q15" s="93">
        <v>52</v>
      </c>
      <c r="R15" s="93">
        <v>43</v>
      </c>
      <c r="S15" s="93">
        <v>151</v>
      </c>
      <c r="T15" s="93">
        <v>74</v>
      </c>
      <c r="U15" s="93">
        <v>26</v>
      </c>
      <c r="V15" s="93">
        <v>26</v>
      </c>
      <c r="W15" s="93">
        <v>9</v>
      </c>
      <c r="X15" s="96">
        <f>SUM(Tabla39[[#This Row],[2002]:[2022]])</f>
        <v>836</v>
      </c>
    </row>
    <row r="16" spans="2:24" x14ac:dyDescent="0.25">
      <c r="B16" s="91" t="s">
        <v>18</v>
      </c>
      <c r="C16" s="93">
        <v>13</v>
      </c>
      <c r="D16" s="93">
        <v>27</v>
      </c>
      <c r="E16" s="93">
        <v>1</v>
      </c>
      <c r="F16" s="93">
        <v>30</v>
      </c>
      <c r="G16" s="93">
        <v>26</v>
      </c>
      <c r="H16" s="93">
        <v>22</v>
      </c>
      <c r="I16" s="93">
        <v>49</v>
      </c>
      <c r="J16" s="93">
        <v>44</v>
      </c>
      <c r="K16" s="93">
        <v>29</v>
      </c>
      <c r="L16" s="93">
        <v>20</v>
      </c>
      <c r="M16" s="93">
        <v>97</v>
      </c>
      <c r="N16" s="93">
        <v>48</v>
      </c>
      <c r="O16" s="93">
        <v>43</v>
      </c>
      <c r="P16" s="93">
        <v>39</v>
      </c>
      <c r="Q16" s="93">
        <v>43</v>
      </c>
      <c r="R16" s="93">
        <v>73</v>
      </c>
      <c r="S16" s="93">
        <v>63</v>
      </c>
      <c r="T16" s="93">
        <v>73</v>
      </c>
      <c r="U16" s="93">
        <v>6</v>
      </c>
      <c r="V16" s="93">
        <v>9</v>
      </c>
      <c r="W16" s="93">
        <v>2</v>
      </c>
      <c r="X16" s="96">
        <f>SUM(Tabla39[[#This Row],[2002]:[2022]])</f>
        <v>757</v>
      </c>
    </row>
    <row r="17" spans="2:24" ht="30" x14ac:dyDescent="0.25">
      <c r="B17" s="91" t="s">
        <v>20</v>
      </c>
      <c r="C17" s="93" t="s">
        <v>59</v>
      </c>
      <c r="D17" s="93" t="s">
        <v>59</v>
      </c>
      <c r="E17" s="93" t="s">
        <v>59</v>
      </c>
      <c r="F17" s="93">
        <v>1</v>
      </c>
      <c r="G17" s="93">
        <v>9</v>
      </c>
      <c r="H17" s="93">
        <v>21</v>
      </c>
      <c r="I17" s="93">
        <v>17</v>
      </c>
      <c r="J17" s="93">
        <v>58</v>
      </c>
      <c r="K17" s="93">
        <v>14</v>
      </c>
      <c r="L17" s="93">
        <v>14</v>
      </c>
      <c r="M17" s="93">
        <v>49</v>
      </c>
      <c r="N17" s="93">
        <v>69</v>
      </c>
      <c r="O17" s="93">
        <v>58</v>
      </c>
      <c r="P17" s="93">
        <v>48</v>
      </c>
      <c r="Q17" s="93">
        <v>7</v>
      </c>
      <c r="R17" s="93">
        <v>52</v>
      </c>
      <c r="S17" s="93">
        <v>86</v>
      </c>
      <c r="T17" s="93">
        <v>1</v>
      </c>
      <c r="U17" s="93">
        <v>19</v>
      </c>
      <c r="V17" s="93">
        <v>17</v>
      </c>
      <c r="W17" s="93">
        <v>12</v>
      </c>
      <c r="X17" s="96">
        <f>SUM(Tabla39[[#This Row],[2002]:[2022]])</f>
        <v>552</v>
      </c>
    </row>
    <row r="18" spans="2:24" x14ac:dyDescent="0.25">
      <c r="B18" s="91" t="s">
        <v>22</v>
      </c>
      <c r="C18" s="93">
        <v>7</v>
      </c>
      <c r="D18" s="93">
        <v>13</v>
      </c>
      <c r="E18" s="93">
        <v>1</v>
      </c>
      <c r="F18" s="93">
        <v>20</v>
      </c>
      <c r="G18" s="93">
        <v>20</v>
      </c>
      <c r="H18" s="93">
        <v>15</v>
      </c>
      <c r="I18" s="93">
        <v>28</v>
      </c>
      <c r="J18" s="93">
        <v>19</v>
      </c>
      <c r="K18" s="93">
        <v>43</v>
      </c>
      <c r="L18" s="93">
        <v>13</v>
      </c>
      <c r="M18" s="93">
        <v>15</v>
      </c>
      <c r="N18" s="93">
        <v>19</v>
      </c>
      <c r="O18" s="93">
        <v>34</v>
      </c>
      <c r="P18" s="93">
        <v>47</v>
      </c>
      <c r="Q18" s="93">
        <v>30</v>
      </c>
      <c r="R18" s="93">
        <v>48</v>
      </c>
      <c r="S18" s="93">
        <v>2</v>
      </c>
      <c r="T18" s="93">
        <v>54</v>
      </c>
      <c r="U18" s="93">
        <v>26</v>
      </c>
      <c r="V18" s="93">
        <v>40</v>
      </c>
      <c r="W18" s="93" t="s">
        <v>59</v>
      </c>
      <c r="X18" s="96">
        <f>SUM(Tabla39[[#This Row],[2002]:[2022]])</f>
        <v>494</v>
      </c>
    </row>
    <row r="19" spans="2:24" ht="90" x14ac:dyDescent="0.25">
      <c r="B19" s="91" t="s">
        <v>19</v>
      </c>
      <c r="C19" s="93" t="s">
        <v>59</v>
      </c>
      <c r="D19" s="93" t="s">
        <v>59</v>
      </c>
      <c r="E19" s="93">
        <v>32</v>
      </c>
      <c r="F19" s="93">
        <v>22</v>
      </c>
      <c r="G19" s="93">
        <v>16</v>
      </c>
      <c r="H19" s="93">
        <v>11</v>
      </c>
      <c r="I19" s="93">
        <v>37</v>
      </c>
      <c r="J19" s="93">
        <v>66</v>
      </c>
      <c r="K19" s="93">
        <v>13</v>
      </c>
      <c r="L19" s="93">
        <v>29</v>
      </c>
      <c r="M19" s="93">
        <v>42</v>
      </c>
      <c r="N19" s="93">
        <v>21</v>
      </c>
      <c r="O19" s="93">
        <v>3</v>
      </c>
      <c r="P19" s="93">
        <v>23</v>
      </c>
      <c r="Q19" s="93">
        <v>5</v>
      </c>
      <c r="R19" s="93">
        <v>58</v>
      </c>
      <c r="S19" s="93">
        <v>2</v>
      </c>
      <c r="T19" s="93">
        <v>78</v>
      </c>
      <c r="U19" s="93">
        <v>23</v>
      </c>
      <c r="V19" s="93">
        <v>2</v>
      </c>
      <c r="W19" s="93" t="s">
        <v>59</v>
      </c>
      <c r="X19" s="96">
        <f>SUM(Tabla39[[#This Row],[2002]:[2022]])</f>
        <v>483</v>
      </c>
    </row>
    <row r="20" spans="2:24" ht="45" x14ac:dyDescent="0.25">
      <c r="B20" s="91" t="s">
        <v>17</v>
      </c>
      <c r="C20" s="93">
        <v>12</v>
      </c>
      <c r="D20" s="93">
        <v>1</v>
      </c>
      <c r="E20" s="93">
        <v>1</v>
      </c>
      <c r="F20" s="93">
        <v>23</v>
      </c>
      <c r="G20" s="93">
        <v>28</v>
      </c>
      <c r="H20" s="93">
        <v>35</v>
      </c>
      <c r="I20" s="93">
        <v>33</v>
      </c>
      <c r="J20" s="93">
        <v>51</v>
      </c>
      <c r="K20" s="93">
        <v>36</v>
      </c>
      <c r="L20" s="93">
        <v>17</v>
      </c>
      <c r="M20" s="93" t="s">
        <v>59</v>
      </c>
      <c r="N20" s="93">
        <v>20</v>
      </c>
      <c r="O20" s="93">
        <v>6</v>
      </c>
      <c r="P20" s="93">
        <v>2</v>
      </c>
      <c r="Q20" s="93">
        <v>25</v>
      </c>
      <c r="R20" s="93">
        <v>18</v>
      </c>
      <c r="S20" s="93">
        <v>25</v>
      </c>
      <c r="T20" s="93">
        <v>59</v>
      </c>
      <c r="U20" s="93">
        <v>15</v>
      </c>
      <c r="V20" s="93">
        <v>3</v>
      </c>
      <c r="W20" s="93">
        <v>13</v>
      </c>
      <c r="X20" s="96">
        <f>SUM(Tabla39[[#This Row],[2002]:[2022]])</f>
        <v>423</v>
      </c>
    </row>
    <row r="21" spans="2:24" x14ac:dyDescent="0.25">
      <c r="B21" s="91" t="s">
        <v>16</v>
      </c>
      <c r="C21" s="93" t="s">
        <v>59</v>
      </c>
      <c r="D21" s="93" t="s">
        <v>59</v>
      </c>
      <c r="E21" s="93">
        <v>10</v>
      </c>
      <c r="F21" s="93">
        <v>9</v>
      </c>
      <c r="G21" s="93">
        <v>14</v>
      </c>
      <c r="H21" s="93">
        <v>21</v>
      </c>
      <c r="I21" s="93">
        <v>18</v>
      </c>
      <c r="J21" s="93">
        <v>13</v>
      </c>
      <c r="K21" s="93">
        <v>24</v>
      </c>
      <c r="L21" s="93">
        <v>10</v>
      </c>
      <c r="M21" s="93">
        <v>27</v>
      </c>
      <c r="N21" s="93">
        <v>28</v>
      </c>
      <c r="O21" s="93">
        <v>14</v>
      </c>
      <c r="P21" s="93">
        <v>26</v>
      </c>
      <c r="Q21" s="93">
        <v>32</v>
      </c>
      <c r="R21" s="93">
        <v>25</v>
      </c>
      <c r="S21" s="93">
        <v>102</v>
      </c>
      <c r="T21" s="93">
        <v>17</v>
      </c>
      <c r="U21" s="93">
        <v>2</v>
      </c>
      <c r="V21" s="93">
        <v>14</v>
      </c>
      <c r="W21" s="93">
        <v>8</v>
      </c>
      <c r="X21" s="96">
        <f>SUM(Tabla39[[#This Row],[2002]:[2022]])</f>
        <v>414</v>
      </c>
    </row>
    <row r="22" spans="2:24" ht="45" x14ac:dyDescent="0.25">
      <c r="B22" s="91" t="s">
        <v>28</v>
      </c>
      <c r="C22" s="93">
        <v>3</v>
      </c>
      <c r="D22" s="93" t="s">
        <v>59</v>
      </c>
      <c r="E22" s="93">
        <v>28</v>
      </c>
      <c r="F22" s="93">
        <v>7</v>
      </c>
      <c r="G22" s="93">
        <v>27</v>
      </c>
      <c r="H22" s="93">
        <v>24</v>
      </c>
      <c r="I22" s="93">
        <v>30</v>
      </c>
      <c r="J22" s="93">
        <v>19</v>
      </c>
      <c r="K22" s="93">
        <v>19</v>
      </c>
      <c r="L22" s="93">
        <v>13</v>
      </c>
      <c r="M22" s="93">
        <v>1</v>
      </c>
      <c r="N22" s="93">
        <v>20</v>
      </c>
      <c r="O22" s="93">
        <v>10</v>
      </c>
      <c r="P22" s="93">
        <v>12</v>
      </c>
      <c r="Q22" s="93">
        <v>19</v>
      </c>
      <c r="R22" s="93">
        <v>31</v>
      </c>
      <c r="S22" s="93" t="s">
        <v>59</v>
      </c>
      <c r="T22" s="93">
        <v>56</v>
      </c>
      <c r="U22" s="93" t="s">
        <v>59</v>
      </c>
      <c r="V22" s="93">
        <v>19</v>
      </c>
      <c r="W22" s="93">
        <v>9</v>
      </c>
      <c r="X22" s="96">
        <f>SUM(Tabla39[[#This Row],[2002]:[2022]])</f>
        <v>347</v>
      </c>
    </row>
    <row r="23" spans="2:24" ht="105" x14ac:dyDescent="0.25">
      <c r="B23" s="91" t="s">
        <v>8</v>
      </c>
      <c r="C23" s="93" t="s">
        <v>59</v>
      </c>
      <c r="D23" s="93" t="s">
        <v>59</v>
      </c>
      <c r="E23" s="93">
        <v>33</v>
      </c>
      <c r="F23" s="93">
        <v>19</v>
      </c>
      <c r="G23" s="93">
        <v>10</v>
      </c>
      <c r="H23" s="93">
        <v>19</v>
      </c>
      <c r="I23" s="93">
        <v>3</v>
      </c>
      <c r="J23" s="93">
        <v>29</v>
      </c>
      <c r="K23" s="93">
        <v>20</v>
      </c>
      <c r="L23" s="93">
        <v>2</v>
      </c>
      <c r="M23" s="93" t="s">
        <v>59</v>
      </c>
      <c r="N23" s="93" t="s">
        <v>59</v>
      </c>
      <c r="O23" s="93">
        <v>17</v>
      </c>
      <c r="P23" s="93">
        <v>25</v>
      </c>
      <c r="Q23" s="93" t="s">
        <v>59</v>
      </c>
      <c r="R23" s="93">
        <v>24</v>
      </c>
      <c r="S23" s="93" t="s">
        <v>59</v>
      </c>
      <c r="T23" s="93">
        <v>52</v>
      </c>
      <c r="U23" s="93">
        <v>36</v>
      </c>
      <c r="V23" s="93">
        <v>10</v>
      </c>
      <c r="W23" s="93">
        <v>19</v>
      </c>
      <c r="X23" s="96">
        <f>SUM(Tabla39[[#This Row],[2002]:[2022]])</f>
        <v>318</v>
      </c>
    </row>
    <row r="24" spans="2:24" ht="30" x14ac:dyDescent="0.25">
      <c r="B24" s="91" t="s">
        <v>27</v>
      </c>
      <c r="C24" s="93">
        <v>30</v>
      </c>
      <c r="D24" s="93">
        <v>2</v>
      </c>
      <c r="E24" s="93">
        <v>9</v>
      </c>
      <c r="F24" s="93">
        <v>17</v>
      </c>
      <c r="G24" s="93">
        <v>3</v>
      </c>
      <c r="H24" s="93">
        <v>14</v>
      </c>
      <c r="I24" s="93">
        <v>24</v>
      </c>
      <c r="J24" s="93">
        <v>46</v>
      </c>
      <c r="K24" s="93">
        <v>50</v>
      </c>
      <c r="L24" s="93" t="s">
        <v>59</v>
      </c>
      <c r="M24" s="93">
        <v>17</v>
      </c>
      <c r="N24" s="93" t="s">
        <v>59</v>
      </c>
      <c r="O24" s="93">
        <v>2</v>
      </c>
      <c r="P24" s="93">
        <v>13</v>
      </c>
      <c r="Q24" s="93" t="s">
        <v>59</v>
      </c>
      <c r="R24" s="93">
        <v>1</v>
      </c>
      <c r="S24" s="93">
        <v>26</v>
      </c>
      <c r="T24" s="93">
        <v>32</v>
      </c>
      <c r="U24" s="93" t="s">
        <v>59</v>
      </c>
      <c r="V24" s="93" t="s">
        <v>59</v>
      </c>
      <c r="W24" s="93" t="s">
        <v>59</v>
      </c>
      <c r="X24" s="96">
        <f>SUM(Tabla39[[#This Row],[2002]:[2022]])</f>
        <v>286</v>
      </c>
    </row>
    <row r="25" spans="2:24" ht="120" x14ac:dyDescent="0.25">
      <c r="B25" s="91" t="s">
        <v>25</v>
      </c>
      <c r="C25" s="93" t="s">
        <v>59</v>
      </c>
      <c r="D25" s="93" t="s">
        <v>59</v>
      </c>
      <c r="E25" s="93" t="s">
        <v>59</v>
      </c>
      <c r="F25" s="93">
        <v>4</v>
      </c>
      <c r="G25" s="93" t="s">
        <v>59</v>
      </c>
      <c r="H25" s="93">
        <v>8</v>
      </c>
      <c r="I25" s="93" t="s">
        <v>59</v>
      </c>
      <c r="J25" s="93">
        <v>13</v>
      </c>
      <c r="K25" s="93">
        <v>14</v>
      </c>
      <c r="L25" s="93">
        <v>16</v>
      </c>
      <c r="M25" s="93">
        <v>22</v>
      </c>
      <c r="N25" s="93">
        <v>10</v>
      </c>
      <c r="O25" s="93">
        <v>5</v>
      </c>
      <c r="P25" s="93">
        <v>31</v>
      </c>
      <c r="Q25" s="93">
        <v>22</v>
      </c>
      <c r="R25" s="93">
        <v>6</v>
      </c>
      <c r="S25" s="93">
        <v>34</v>
      </c>
      <c r="T25" s="93">
        <v>48</v>
      </c>
      <c r="U25" s="93" t="s">
        <v>59</v>
      </c>
      <c r="V25" s="93" t="s">
        <v>59</v>
      </c>
      <c r="W25" s="93">
        <v>48</v>
      </c>
      <c r="X25" s="96">
        <f>SUM(Tabla39[[#This Row],[2002]:[2022]])</f>
        <v>281</v>
      </c>
    </row>
    <row r="26" spans="2:24" x14ac:dyDescent="0.25">
      <c r="B26" s="91" t="s">
        <v>14</v>
      </c>
      <c r="C26" s="93" t="s">
        <v>59</v>
      </c>
      <c r="D26" s="93">
        <v>19</v>
      </c>
      <c r="E26" s="93" t="s">
        <v>59</v>
      </c>
      <c r="F26" s="93">
        <v>22</v>
      </c>
      <c r="G26" s="93">
        <v>23</v>
      </c>
      <c r="H26" s="93">
        <v>4</v>
      </c>
      <c r="I26" s="93">
        <v>7</v>
      </c>
      <c r="J26" s="93">
        <v>35</v>
      </c>
      <c r="K26" s="93" t="s">
        <v>59</v>
      </c>
      <c r="L26" s="93">
        <v>1</v>
      </c>
      <c r="M26" s="93">
        <v>7</v>
      </c>
      <c r="N26" s="93">
        <v>6</v>
      </c>
      <c r="O26" s="93">
        <v>4</v>
      </c>
      <c r="P26" s="93" t="s">
        <v>59</v>
      </c>
      <c r="Q26" s="93">
        <v>5</v>
      </c>
      <c r="R26" s="93">
        <v>88</v>
      </c>
      <c r="S26" s="93" t="s">
        <v>59</v>
      </c>
      <c r="T26" s="93">
        <v>13</v>
      </c>
      <c r="U26" s="93">
        <v>25</v>
      </c>
      <c r="V26" s="93">
        <v>1</v>
      </c>
      <c r="W26" s="93" t="s">
        <v>59</v>
      </c>
      <c r="X26" s="96">
        <f>SUM(Tabla39[[#This Row],[2002]:[2022]])</f>
        <v>260</v>
      </c>
    </row>
    <row r="27" spans="2:24" ht="60" x14ac:dyDescent="0.25">
      <c r="B27" s="91" t="s">
        <v>29</v>
      </c>
      <c r="C27" s="93" t="s">
        <v>59</v>
      </c>
      <c r="D27" s="93" t="s">
        <v>59</v>
      </c>
      <c r="E27" s="93">
        <v>4</v>
      </c>
      <c r="F27" s="93">
        <v>1</v>
      </c>
      <c r="G27" s="93">
        <v>12</v>
      </c>
      <c r="H27" s="93">
        <v>8</v>
      </c>
      <c r="I27" s="93">
        <v>27</v>
      </c>
      <c r="J27" s="93">
        <v>48</v>
      </c>
      <c r="K27" s="93">
        <v>14</v>
      </c>
      <c r="L27" s="93">
        <v>12</v>
      </c>
      <c r="M27" s="93">
        <v>27</v>
      </c>
      <c r="N27" s="93">
        <v>16</v>
      </c>
      <c r="O27" s="93">
        <v>2</v>
      </c>
      <c r="P27" s="93">
        <v>18</v>
      </c>
      <c r="Q27" s="93">
        <v>2</v>
      </c>
      <c r="R27" s="93">
        <v>10</v>
      </c>
      <c r="S27" s="93">
        <v>13</v>
      </c>
      <c r="T27" s="93">
        <v>31</v>
      </c>
      <c r="U27" s="93">
        <v>4</v>
      </c>
      <c r="V27" s="93" t="s">
        <v>59</v>
      </c>
      <c r="W27" s="93">
        <v>2</v>
      </c>
      <c r="X27" s="96">
        <f>SUM(Tabla39[[#This Row],[2002]:[2022]])</f>
        <v>251</v>
      </c>
    </row>
    <row r="28" spans="2:24" ht="60" x14ac:dyDescent="0.25">
      <c r="B28" s="91" t="s">
        <v>30</v>
      </c>
      <c r="C28" s="93">
        <v>4</v>
      </c>
      <c r="D28" s="93" t="s">
        <v>59</v>
      </c>
      <c r="E28" s="93" t="s">
        <v>59</v>
      </c>
      <c r="F28" s="93">
        <v>2</v>
      </c>
      <c r="G28" s="93">
        <v>2</v>
      </c>
      <c r="H28" s="93">
        <v>5</v>
      </c>
      <c r="I28" s="93">
        <v>12</v>
      </c>
      <c r="J28" s="93">
        <v>7</v>
      </c>
      <c r="K28" s="93">
        <v>16</v>
      </c>
      <c r="L28" s="93" t="s">
        <v>59</v>
      </c>
      <c r="M28" s="93">
        <v>7</v>
      </c>
      <c r="N28" s="93">
        <v>25</v>
      </c>
      <c r="O28" s="93">
        <v>13</v>
      </c>
      <c r="P28" s="93">
        <v>13</v>
      </c>
      <c r="Q28" s="93">
        <v>7</v>
      </c>
      <c r="R28" s="93">
        <v>37</v>
      </c>
      <c r="S28" s="93">
        <v>23</v>
      </c>
      <c r="T28" s="93" t="s">
        <v>59</v>
      </c>
      <c r="U28" s="93">
        <v>18</v>
      </c>
      <c r="V28" s="93" t="s">
        <v>59</v>
      </c>
      <c r="W28" s="93">
        <v>3</v>
      </c>
      <c r="X28" s="96">
        <f>SUM(Tabla39[[#This Row],[2002]:[2022]])</f>
        <v>194</v>
      </c>
    </row>
    <row r="29" spans="2:24" ht="45" x14ac:dyDescent="0.25">
      <c r="B29" s="91" t="s">
        <v>31</v>
      </c>
      <c r="C29" s="93" t="s">
        <v>59</v>
      </c>
      <c r="D29" s="93">
        <v>2</v>
      </c>
      <c r="E29" s="93" t="s">
        <v>59</v>
      </c>
      <c r="F29" s="93">
        <v>4</v>
      </c>
      <c r="G29" s="93" t="s">
        <v>59</v>
      </c>
      <c r="H29" s="93">
        <v>12</v>
      </c>
      <c r="I29" s="93">
        <v>9</v>
      </c>
      <c r="J29" s="93">
        <v>52</v>
      </c>
      <c r="K29" s="93">
        <v>7</v>
      </c>
      <c r="L29" s="93">
        <v>9</v>
      </c>
      <c r="M29" s="93">
        <v>25</v>
      </c>
      <c r="N29" s="93">
        <v>2</v>
      </c>
      <c r="O29" s="93" t="s">
        <v>59</v>
      </c>
      <c r="P29" s="93" t="s">
        <v>59</v>
      </c>
      <c r="Q29" s="93" t="s">
        <v>59</v>
      </c>
      <c r="R29" s="93" t="s">
        <v>59</v>
      </c>
      <c r="S29" s="93">
        <v>59</v>
      </c>
      <c r="T29" s="93" t="s">
        <v>59</v>
      </c>
      <c r="U29" s="93" t="s">
        <v>59</v>
      </c>
      <c r="V29" s="93" t="s">
        <v>59</v>
      </c>
      <c r="W29" s="93" t="s">
        <v>59</v>
      </c>
      <c r="X29" s="96">
        <f>SUM(Tabla39[[#This Row],[2002]:[2022]])</f>
        <v>181</v>
      </c>
    </row>
    <row r="30" spans="2:24" ht="30" x14ac:dyDescent="0.25">
      <c r="B30" s="91" t="s">
        <v>23</v>
      </c>
      <c r="C30" s="93" t="s">
        <v>59</v>
      </c>
      <c r="D30" s="93" t="s">
        <v>59</v>
      </c>
      <c r="E30" s="93">
        <v>1</v>
      </c>
      <c r="F30" s="93" t="s">
        <v>59</v>
      </c>
      <c r="G30" s="93" t="s">
        <v>59</v>
      </c>
      <c r="H30" s="93">
        <v>19</v>
      </c>
      <c r="I30" s="93" t="s">
        <v>59</v>
      </c>
      <c r="J30" s="93">
        <v>9</v>
      </c>
      <c r="K30" s="93">
        <v>13</v>
      </c>
      <c r="L30" s="93" t="s">
        <v>59</v>
      </c>
      <c r="M30" s="93" t="s">
        <v>59</v>
      </c>
      <c r="N30" s="93" t="s">
        <v>59</v>
      </c>
      <c r="O30" s="93" t="s">
        <v>59</v>
      </c>
      <c r="P30" s="93">
        <v>5</v>
      </c>
      <c r="Q30" s="93" t="s">
        <v>59</v>
      </c>
      <c r="R30" s="93" t="s">
        <v>59</v>
      </c>
      <c r="S30" s="93">
        <v>12</v>
      </c>
      <c r="T30" s="93">
        <v>52</v>
      </c>
      <c r="U30" s="93">
        <v>26</v>
      </c>
      <c r="V30" s="93" t="s">
        <v>59</v>
      </c>
      <c r="W30" s="93" t="s">
        <v>59</v>
      </c>
      <c r="X30" s="96">
        <f>SUM(Tabla39[[#This Row],[2002]:[2022]])</f>
        <v>137</v>
      </c>
    </row>
    <row r="31" spans="2:24" ht="30" x14ac:dyDescent="0.25">
      <c r="B31" s="91" t="s">
        <v>26</v>
      </c>
      <c r="C31" s="93" t="s">
        <v>59</v>
      </c>
      <c r="D31" s="93">
        <v>13</v>
      </c>
      <c r="E31" s="93">
        <v>3</v>
      </c>
      <c r="F31" s="93" t="s">
        <v>59</v>
      </c>
      <c r="G31" s="93">
        <v>9</v>
      </c>
      <c r="H31" s="93" t="s">
        <v>59</v>
      </c>
      <c r="I31" s="93">
        <v>13</v>
      </c>
      <c r="J31" s="93">
        <v>3</v>
      </c>
      <c r="K31" s="93" t="s">
        <v>59</v>
      </c>
      <c r="L31" s="93" t="s">
        <v>59</v>
      </c>
      <c r="M31" s="93">
        <v>7</v>
      </c>
      <c r="N31" s="93" t="s">
        <v>59</v>
      </c>
      <c r="O31" s="93" t="s">
        <v>59</v>
      </c>
      <c r="P31" s="93" t="s">
        <v>59</v>
      </c>
      <c r="Q31" s="93" t="s">
        <v>59</v>
      </c>
      <c r="R31" s="93">
        <v>6</v>
      </c>
      <c r="S31" s="93">
        <v>44</v>
      </c>
      <c r="T31" s="93" t="s">
        <v>59</v>
      </c>
      <c r="U31" s="93" t="s">
        <v>59</v>
      </c>
      <c r="V31" s="93" t="s">
        <v>59</v>
      </c>
      <c r="W31" s="93" t="s">
        <v>59</v>
      </c>
      <c r="X31" s="96">
        <f>SUM(Tabla39[[#This Row],[2002]:[2022]])</f>
        <v>98</v>
      </c>
    </row>
    <row r="32" spans="2:24" ht="45" x14ac:dyDescent="0.25">
      <c r="B32" s="91" t="s">
        <v>32</v>
      </c>
      <c r="C32" s="93" t="s">
        <v>59</v>
      </c>
      <c r="D32" s="93">
        <v>3</v>
      </c>
      <c r="E32" s="93" t="s">
        <v>59</v>
      </c>
      <c r="F32" s="93" t="s">
        <v>59</v>
      </c>
      <c r="G32" s="93" t="s">
        <v>59</v>
      </c>
      <c r="H32" s="93" t="s">
        <v>59</v>
      </c>
      <c r="I32" s="93" t="s">
        <v>59</v>
      </c>
      <c r="J32" s="93" t="s">
        <v>59</v>
      </c>
      <c r="K32" s="93" t="s">
        <v>59</v>
      </c>
      <c r="L32" s="93">
        <v>1</v>
      </c>
      <c r="M32" s="93" t="s">
        <v>59</v>
      </c>
      <c r="N32" s="93" t="s">
        <v>59</v>
      </c>
      <c r="O32" s="93" t="s">
        <v>59</v>
      </c>
      <c r="P32" s="93" t="s">
        <v>59</v>
      </c>
      <c r="Q32" s="93" t="s">
        <v>59</v>
      </c>
      <c r="R32" s="93">
        <v>13</v>
      </c>
      <c r="S32" s="93">
        <v>15</v>
      </c>
      <c r="T32" s="93" t="s">
        <v>59</v>
      </c>
      <c r="U32" s="93" t="s">
        <v>59</v>
      </c>
      <c r="V32" s="93" t="s">
        <v>59</v>
      </c>
      <c r="W32" s="93" t="s">
        <v>59</v>
      </c>
      <c r="X32" s="96">
        <f>SUM(Tabla39[[#This Row],[2002]:[2022]])</f>
        <v>32</v>
      </c>
    </row>
    <row r="33" spans="2:24" x14ac:dyDescent="0.25">
      <c r="B33" s="91" t="s">
        <v>35</v>
      </c>
      <c r="C33" s="105">
        <f>SUBTOTAL(109,C4:C32)</f>
        <v>278</v>
      </c>
      <c r="D33" s="105">
        <f t="shared" ref="D33:W33" si="0">SUBTOTAL(109,D4:D32)</f>
        <v>338</v>
      </c>
      <c r="E33" s="105">
        <f t="shared" si="0"/>
        <v>510</v>
      </c>
      <c r="F33" s="105">
        <f t="shared" si="0"/>
        <v>459</v>
      </c>
      <c r="G33" s="105">
        <f t="shared" si="0"/>
        <v>606</v>
      </c>
      <c r="H33" s="105">
        <f t="shared" si="0"/>
        <v>1444</v>
      </c>
      <c r="I33" s="105">
        <f t="shared" si="0"/>
        <v>1191</v>
      </c>
      <c r="J33" s="105">
        <f t="shared" si="0"/>
        <v>1341</v>
      </c>
      <c r="K33" s="105">
        <f t="shared" si="0"/>
        <v>1201</v>
      </c>
      <c r="L33" s="105">
        <f t="shared" si="0"/>
        <v>1057</v>
      </c>
      <c r="M33" s="105">
        <f t="shared" si="0"/>
        <v>1349</v>
      </c>
      <c r="N33" s="105">
        <f t="shared" si="0"/>
        <v>1603</v>
      </c>
      <c r="O33" s="105">
        <f t="shared" si="0"/>
        <v>1132</v>
      </c>
      <c r="P33" s="105">
        <f t="shared" si="0"/>
        <v>1207</v>
      </c>
      <c r="Q33" s="105">
        <f t="shared" si="0"/>
        <v>1175</v>
      </c>
      <c r="R33" s="105">
        <f t="shared" si="0"/>
        <v>2031</v>
      </c>
      <c r="S33" s="105">
        <f t="shared" si="0"/>
        <v>2788</v>
      </c>
      <c r="T33" s="105">
        <f t="shared" si="0"/>
        <v>2026</v>
      </c>
      <c r="U33" s="105">
        <f t="shared" si="0"/>
        <v>846</v>
      </c>
      <c r="V33" s="105">
        <f t="shared" si="0"/>
        <v>516</v>
      </c>
      <c r="W33" s="105">
        <f t="shared" si="0"/>
        <v>556</v>
      </c>
      <c r="X33" s="96">
        <f>SUBTOTAL(109,X4:X32)</f>
        <v>23654</v>
      </c>
    </row>
  </sheetData>
  <mergeCells count="3">
    <mergeCell ref="B2:B3"/>
    <mergeCell ref="C2:W2"/>
    <mergeCell ref="X2:X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9DB-6CBA-45AB-B636-2E1A72EA8731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E49B-B6F6-43F2-B499-965FA22E4157}">
  <dimension ref="B3:F10"/>
  <sheetViews>
    <sheetView workbookViewId="0">
      <selection activeCell="E14" sqref="E14:E16"/>
    </sheetView>
  </sheetViews>
  <sheetFormatPr baseColWidth="10" defaultRowHeight="15" x14ac:dyDescent="0.25"/>
  <cols>
    <col min="3" max="3" width="15.28515625" customWidth="1"/>
    <col min="4" max="4" width="14.28515625" customWidth="1"/>
  </cols>
  <sheetData>
    <row r="3" spans="2:6" ht="30" x14ac:dyDescent="0.25">
      <c r="B3" s="32" t="s">
        <v>61</v>
      </c>
      <c r="C3" s="33" t="s">
        <v>79</v>
      </c>
      <c r="D3" s="33" t="s">
        <v>80</v>
      </c>
      <c r="E3" s="33" t="s">
        <v>81</v>
      </c>
      <c r="F3" s="34" t="s">
        <v>35</v>
      </c>
    </row>
    <row r="4" spans="2:6" x14ac:dyDescent="0.25">
      <c r="B4" s="10">
        <v>2002</v>
      </c>
      <c r="C4" s="106">
        <v>0</v>
      </c>
      <c r="D4" s="106">
        <v>0</v>
      </c>
      <c r="E4" s="36">
        <v>464</v>
      </c>
      <c r="F4" s="99">
        <v>464</v>
      </c>
    </row>
    <row r="5" spans="2:6" x14ac:dyDescent="0.25">
      <c r="B5" s="10">
        <v>2003</v>
      </c>
      <c r="C5" s="106">
        <v>0</v>
      </c>
      <c r="D5" s="106">
        <v>0</v>
      </c>
      <c r="E5" s="36">
        <v>382</v>
      </c>
      <c r="F5" s="99">
        <v>382</v>
      </c>
    </row>
    <row r="6" spans="2:6" x14ac:dyDescent="0.25">
      <c r="B6" s="10">
        <v>2004</v>
      </c>
      <c r="C6" s="106">
        <v>0</v>
      </c>
      <c r="D6" s="106">
        <v>0</v>
      </c>
      <c r="E6" s="36">
        <v>40</v>
      </c>
      <c r="F6" s="99">
        <v>40</v>
      </c>
    </row>
    <row r="7" spans="2:6" x14ac:dyDescent="0.25">
      <c r="B7" s="10">
        <v>2005</v>
      </c>
      <c r="C7" s="106">
        <v>0</v>
      </c>
      <c r="D7" s="106">
        <v>0</v>
      </c>
      <c r="E7" s="36">
        <v>50</v>
      </c>
      <c r="F7" s="99">
        <v>50</v>
      </c>
    </row>
    <row r="8" spans="2:6" x14ac:dyDescent="0.25">
      <c r="B8" s="10">
        <v>2006</v>
      </c>
      <c r="C8" s="106">
        <v>0</v>
      </c>
      <c r="D8" s="106">
        <v>0</v>
      </c>
      <c r="E8" s="36">
        <v>217</v>
      </c>
      <c r="F8" s="99">
        <v>217</v>
      </c>
    </row>
    <row r="9" spans="2:6" x14ac:dyDescent="0.25">
      <c r="B9" s="10">
        <v>2007</v>
      </c>
      <c r="C9" s="106">
        <v>0</v>
      </c>
      <c r="D9" s="106">
        <v>0</v>
      </c>
      <c r="E9" s="36">
        <v>6</v>
      </c>
      <c r="F9" s="99">
        <v>6</v>
      </c>
    </row>
    <row r="10" spans="2:6" x14ac:dyDescent="0.25">
      <c r="B10" s="81" t="s">
        <v>35</v>
      </c>
      <c r="C10" s="107">
        <v>0</v>
      </c>
      <c r="D10" s="107">
        <v>0</v>
      </c>
      <c r="E10" s="48">
        <v>1159</v>
      </c>
      <c r="F10" s="108">
        <v>1159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2D61-05EE-4CCC-817E-999F7AB4BEC0}">
  <dimension ref="B3:I34"/>
  <sheetViews>
    <sheetView topLeftCell="A25" workbookViewId="0">
      <selection activeCell="L30" sqref="L30"/>
    </sheetView>
  </sheetViews>
  <sheetFormatPr baseColWidth="10" defaultRowHeight="15" x14ac:dyDescent="0.25"/>
  <cols>
    <col min="2" max="2" width="30.7109375" customWidth="1"/>
    <col min="3" max="9" width="6.140625" customWidth="1"/>
  </cols>
  <sheetData>
    <row r="3" spans="2:9" x14ac:dyDescent="0.25">
      <c r="B3" s="83" t="s">
        <v>0</v>
      </c>
      <c r="C3" s="109" t="s">
        <v>36</v>
      </c>
      <c r="D3" s="109"/>
      <c r="E3" s="109"/>
      <c r="F3" s="109"/>
      <c r="G3" s="109"/>
      <c r="H3" s="109"/>
      <c r="I3" s="87" t="s">
        <v>35</v>
      </c>
    </row>
    <row r="4" spans="2:9" x14ac:dyDescent="0.25">
      <c r="B4" s="83"/>
      <c r="C4" s="110" t="s">
        <v>37</v>
      </c>
      <c r="D4" s="110" t="s">
        <v>38</v>
      </c>
      <c r="E4" s="110" t="s">
        <v>39</v>
      </c>
      <c r="F4" s="110" t="s">
        <v>40</v>
      </c>
      <c r="G4" s="110" t="s">
        <v>41</v>
      </c>
      <c r="H4" s="110" t="s">
        <v>42</v>
      </c>
      <c r="I4" s="87"/>
    </row>
    <row r="5" spans="2:9" ht="45" x14ac:dyDescent="0.25">
      <c r="B5" s="91" t="s">
        <v>5</v>
      </c>
      <c r="C5" s="93" t="s">
        <v>82</v>
      </c>
      <c r="D5" s="93">
        <v>66</v>
      </c>
      <c r="E5" s="93">
        <v>3</v>
      </c>
      <c r="F5" s="93">
        <v>14</v>
      </c>
      <c r="G5" s="93">
        <v>20</v>
      </c>
      <c r="H5" s="93">
        <v>1</v>
      </c>
      <c r="I5" s="96">
        <v>149</v>
      </c>
    </row>
    <row r="6" spans="2:9" ht="60" x14ac:dyDescent="0.25">
      <c r="B6" s="91" t="s">
        <v>6</v>
      </c>
      <c r="C6" s="93">
        <v>37</v>
      </c>
      <c r="D6" s="93">
        <v>36</v>
      </c>
      <c r="E6" s="93">
        <v>2</v>
      </c>
      <c r="F6" s="93">
        <v>2</v>
      </c>
      <c r="G6" s="93">
        <v>52</v>
      </c>
      <c r="H6" s="93">
        <v>2</v>
      </c>
      <c r="I6" s="96">
        <v>131</v>
      </c>
    </row>
    <row r="7" spans="2:9" ht="75" x14ac:dyDescent="0.25">
      <c r="B7" s="91" t="s">
        <v>4</v>
      </c>
      <c r="C7" s="93">
        <v>37</v>
      </c>
      <c r="D7" s="93">
        <v>78</v>
      </c>
      <c r="E7" s="93" t="s">
        <v>59</v>
      </c>
      <c r="F7" s="93">
        <v>10</v>
      </c>
      <c r="G7" s="93">
        <v>5</v>
      </c>
      <c r="H7" s="93" t="s">
        <v>59</v>
      </c>
      <c r="I7" s="96">
        <v>130</v>
      </c>
    </row>
    <row r="8" spans="2:9" ht="90" x14ac:dyDescent="0.25">
      <c r="B8" s="91" t="s">
        <v>7</v>
      </c>
      <c r="C8" s="93">
        <v>42</v>
      </c>
      <c r="D8" s="93">
        <v>13</v>
      </c>
      <c r="E8" s="93">
        <v>4</v>
      </c>
      <c r="F8" s="93">
        <v>3</v>
      </c>
      <c r="G8" s="93">
        <v>20</v>
      </c>
      <c r="H8" s="93" t="s">
        <v>59</v>
      </c>
      <c r="I8" s="96">
        <v>82</v>
      </c>
    </row>
    <row r="9" spans="2:9" ht="90" x14ac:dyDescent="0.25">
      <c r="B9" s="91" t="s">
        <v>10</v>
      </c>
      <c r="C9" s="93">
        <v>43</v>
      </c>
      <c r="D9" s="93">
        <v>14</v>
      </c>
      <c r="E9" s="93">
        <v>3</v>
      </c>
      <c r="F9" s="93">
        <v>1</v>
      </c>
      <c r="G9" s="93">
        <v>8</v>
      </c>
      <c r="H9" s="93">
        <v>1</v>
      </c>
      <c r="I9" s="96">
        <v>70</v>
      </c>
    </row>
    <row r="10" spans="2:9" x14ac:dyDescent="0.25">
      <c r="B10" s="91" t="s">
        <v>16</v>
      </c>
      <c r="C10" s="93">
        <v>35</v>
      </c>
      <c r="D10" s="93">
        <v>10</v>
      </c>
      <c r="E10" s="93" t="s">
        <v>59</v>
      </c>
      <c r="F10" s="93" t="s">
        <v>59</v>
      </c>
      <c r="G10" s="93">
        <v>15</v>
      </c>
      <c r="H10" s="93">
        <v>1</v>
      </c>
      <c r="I10" s="96">
        <v>61</v>
      </c>
    </row>
    <row r="11" spans="2:9" x14ac:dyDescent="0.25">
      <c r="B11" s="91" t="s">
        <v>11</v>
      </c>
      <c r="C11" s="93">
        <v>19</v>
      </c>
      <c r="D11" s="93">
        <v>15</v>
      </c>
      <c r="E11" s="93">
        <v>2</v>
      </c>
      <c r="F11" s="93">
        <v>5</v>
      </c>
      <c r="G11" s="93">
        <v>14</v>
      </c>
      <c r="H11" s="93">
        <v>1</v>
      </c>
      <c r="I11" s="96">
        <v>56</v>
      </c>
    </row>
    <row r="12" spans="2:9" ht="30" x14ac:dyDescent="0.25">
      <c r="B12" s="91" t="s">
        <v>9</v>
      </c>
      <c r="C12" s="93">
        <v>28</v>
      </c>
      <c r="D12" s="93">
        <v>11</v>
      </c>
      <c r="E12" s="93">
        <v>8</v>
      </c>
      <c r="F12" s="93">
        <v>2</v>
      </c>
      <c r="G12" s="93">
        <v>4</v>
      </c>
      <c r="H12" s="93" t="s">
        <v>59</v>
      </c>
      <c r="I12" s="96">
        <v>53</v>
      </c>
    </row>
    <row r="13" spans="2:9" ht="105" x14ac:dyDescent="0.25">
      <c r="B13" s="91" t="s">
        <v>8</v>
      </c>
      <c r="C13" s="93">
        <v>21</v>
      </c>
      <c r="D13" s="93">
        <v>21</v>
      </c>
      <c r="E13" s="93">
        <v>4</v>
      </c>
      <c r="F13" s="93" t="s">
        <v>59</v>
      </c>
      <c r="G13" s="93">
        <v>6</v>
      </c>
      <c r="H13" s="93" t="s">
        <v>59</v>
      </c>
      <c r="I13" s="96">
        <v>52</v>
      </c>
    </row>
    <row r="14" spans="2:9" x14ac:dyDescent="0.25">
      <c r="B14" s="91" t="s">
        <v>15</v>
      </c>
      <c r="C14" s="93">
        <v>31</v>
      </c>
      <c r="D14" s="93">
        <v>12</v>
      </c>
      <c r="E14" s="93" t="s">
        <v>59</v>
      </c>
      <c r="F14" s="93">
        <v>4</v>
      </c>
      <c r="G14" s="93" t="s">
        <v>59</v>
      </c>
      <c r="H14" s="93" t="s">
        <v>59</v>
      </c>
      <c r="I14" s="96">
        <v>47</v>
      </c>
    </row>
    <row r="15" spans="2:9" ht="60" x14ac:dyDescent="0.25">
      <c r="B15" s="91" t="s">
        <v>13</v>
      </c>
      <c r="C15" s="93">
        <v>27</v>
      </c>
      <c r="D15" s="93">
        <v>8</v>
      </c>
      <c r="E15" s="93" t="s">
        <v>59</v>
      </c>
      <c r="F15" s="93">
        <v>3</v>
      </c>
      <c r="G15" s="93">
        <v>5</v>
      </c>
      <c r="H15" s="93" t="s">
        <v>59</v>
      </c>
      <c r="I15" s="96">
        <v>43</v>
      </c>
    </row>
    <row r="16" spans="2:9" ht="90" x14ac:dyDescent="0.25">
      <c r="B16" s="91" t="s">
        <v>12</v>
      </c>
      <c r="C16" s="93">
        <v>14</v>
      </c>
      <c r="D16" s="93">
        <v>20</v>
      </c>
      <c r="E16" s="93">
        <v>4</v>
      </c>
      <c r="F16" s="93">
        <v>2</v>
      </c>
      <c r="G16" s="93">
        <v>1</v>
      </c>
      <c r="H16" s="93" t="s">
        <v>59</v>
      </c>
      <c r="I16" s="96">
        <v>41</v>
      </c>
    </row>
    <row r="17" spans="2:9" ht="90" x14ac:dyDescent="0.25">
      <c r="B17" s="91" t="s">
        <v>19</v>
      </c>
      <c r="C17" s="93">
        <v>14</v>
      </c>
      <c r="D17" s="93">
        <v>17</v>
      </c>
      <c r="E17" s="93">
        <v>1</v>
      </c>
      <c r="F17" s="93">
        <v>1</v>
      </c>
      <c r="G17" s="93">
        <v>1</v>
      </c>
      <c r="H17" s="93" t="s">
        <v>59</v>
      </c>
      <c r="I17" s="96">
        <v>34</v>
      </c>
    </row>
    <row r="18" spans="2:9" ht="30" x14ac:dyDescent="0.25">
      <c r="B18" s="91" t="s">
        <v>27</v>
      </c>
      <c r="C18" s="93">
        <v>4</v>
      </c>
      <c r="D18" s="93">
        <v>2</v>
      </c>
      <c r="E18" s="93">
        <v>1</v>
      </c>
      <c r="F18" s="93" t="s">
        <v>59</v>
      </c>
      <c r="G18" s="93">
        <v>18</v>
      </c>
      <c r="H18" s="93" t="s">
        <v>59</v>
      </c>
      <c r="I18" s="96">
        <v>25</v>
      </c>
    </row>
    <row r="19" spans="2:9" ht="30" x14ac:dyDescent="0.25">
      <c r="B19" s="91" t="s">
        <v>26</v>
      </c>
      <c r="C19" s="93" t="s">
        <v>59</v>
      </c>
      <c r="D19" s="93">
        <v>22</v>
      </c>
      <c r="E19" s="93" t="s">
        <v>59</v>
      </c>
      <c r="F19" s="93" t="s">
        <v>59</v>
      </c>
      <c r="G19" s="93">
        <v>2</v>
      </c>
      <c r="H19" s="93" t="s">
        <v>59</v>
      </c>
      <c r="I19" s="96">
        <v>24</v>
      </c>
    </row>
    <row r="20" spans="2:9" x14ac:dyDescent="0.25">
      <c r="B20" s="91" t="s">
        <v>14</v>
      </c>
      <c r="C20" s="93">
        <v>14</v>
      </c>
      <c r="D20" s="93">
        <v>8</v>
      </c>
      <c r="E20" s="93">
        <v>1</v>
      </c>
      <c r="F20" s="93" t="s">
        <v>59</v>
      </c>
      <c r="G20" s="93">
        <v>1</v>
      </c>
      <c r="H20" s="93" t="s">
        <v>59</v>
      </c>
      <c r="I20" s="96">
        <v>24</v>
      </c>
    </row>
    <row r="21" spans="2:9" x14ac:dyDescent="0.25">
      <c r="B21" s="91" t="s">
        <v>18</v>
      </c>
      <c r="C21" s="93">
        <v>10</v>
      </c>
      <c r="D21" s="93">
        <v>1</v>
      </c>
      <c r="E21" s="93" t="s">
        <v>59</v>
      </c>
      <c r="F21" s="93">
        <v>2</v>
      </c>
      <c r="G21" s="93">
        <v>10</v>
      </c>
      <c r="H21" s="93" t="s">
        <v>59</v>
      </c>
      <c r="I21" s="96">
        <v>23</v>
      </c>
    </row>
    <row r="22" spans="2:9" ht="45" x14ac:dyDescent="0.25">
      <c r="B22" s="91" t="s">
        <v>31</v>
      </c>
      <c r="C22" s="93">
        <v>13</v>
      </c>
      <c r="D22" s="93">
        <v>6</v>
      </c>
      <c r="E22" s="93" t="s">
        <v>59</v>
      </c>
      <c r="F22" s="93" t="s">
        <v>59</v>
      </c>
      <c r="G22" s="93">
        <v>2</v>
      </c>
      <c r="H22" s="93" t="s">
        <v>59</v>
      </c>
      <c r="I22" s="96">
        <v>21</v>
      </c>
    </row>
    <row r="23" spans="2:9" ht="45" x14ac:dyDescent="0.25">
      <c r="B23" s="91" t="s">
        <v>17</v>
      </c>
      <c r="C23" s="93">
        <v>4</v>
      </c>
      <c r="D23" s="93">
        <v>8</v>
      </c>
      <c r="E23" s="93">
        <v>1</v>
      </c>
      <c r="F23" s="93" t="s">
        <v>59</v>
      </c>
      <c r="G23" s="93">
        <v>8</v>
      </c>
      <c r="H23" s="93" t="s">
        <v>59</v>
      </c>
      <c r="I23" s="96">
        <v>21</v>
      </c>
    </row>
    <row r="24" spans="2:9" x14ac:dyDescent="0.25">
      <c r="B24" s="91" t="s">
        <v>22</v>
      </c>
      <c r="C24" s="93">
        <v>8</v>
      </c>
      <c r="D24" s="93">
        <v>2</v>
      </c>
      <c r="E24" s="93">
        <v>3</v>
      </c>
      <c r="F24" s="93" t="s">
        <v>59</v>
      </c>
      <c r="G24" s="93">
        <v>3</v>
      </c>
      <c r="H24" s="93" t="s">
        <v>59</v>
      </c>
      <c r="I24" s="96">
        <v>16</v>
      </c>
    </row>
    <row r="25" spans="2:9" ht="60" x14ac:dyDescent="0.25">
      <c r="B25" s="91" t="s">
        <v>30</v>
      </c>
      <c r="C25" s="93">
        <v>7</v>
      </c>
      <c r="D25" s="93">
        <v>3</v>
      </c>
      <c r="E25" s="93" t="s">
        <v>59</v>
      </c>
      <c r="F25" s="93" t="s">
        <v>59</v>
      </c>
      <c r="G25" s="93">
        <v>1</v>
      </c>
      <c r="H25" s="93" t="s">
        <v>59</v>
      </c>
      <c r="I25" s="96">
        <v>11</v>
      </c>
    </row>
    <row r="26" spans="2:9" ht="90" x14ac:dyDescent="0.25">
      <c r="B26" s="91" t="s">
        <v>83</v>
      </c>
      <c r="C26" s="93">
        <v>2</v>
      </c>
      <c r="D26" s="93" t="s">
        <v>59</v>
      </c>
      <c r="E26" s="93" t="s">
        <v>59</v>
      </c>
      <c r="F26" s="93" t="s">
        <v>59</v>
      </c>
      <c r="G26" s="93">
        <v>8</v>
      </c>
      <c r="H26" s="93" t="s">
        <v>59</v>
      </c>
      <c r="I26" s="96">
        <v>10</v>
      </c>
    </row>
    <row r="27" spans="2:9" x14ac:dyDescent="0.25">
      <c r="B27" s="91" t="s">
        <v>24</v>
      </c>
      <c r="C27" s="93">
        <v>1</v>
      </c>
      <c r="D27" s="93">
        <v>5</v>
      </c>
      <c r="E27" s="93">
        <v>3</v>
      </c>
      <c r="F27" s="93" t="s">
        <v>59</v>
      </c>
      <c r="G27" s="93" t="s">
        <v>59</v>
      </c>
      <c r="H27" s="93" t="s">
        <v>59</v>
      </c>
      <c r="I27" s="96">
        <v>9</v>
      </c>
    </row>
    <row r="28" spans="2:9" ht="90" x14ac:dyDescent="0.25">
      <c r="B28" s="91" t="s">
        <v>21</v>
      </c>
      <c r="C28" s="93" t="s">
        <v>59</v>
      </c>
      <c r="D28" s="93" t="s">
        <v>59</v>
      </c>
      <c r="E28" s="93" t="s">
        <v>59</v>
      </c>
      <c r="F28" s="93">
        <v>1</v>
      </c>
      <c r="G28" s="93">
        <v>7</v>
      </c>
      <c r="H28" s="93" t="s">
        <v>59</v>
      </c>
      <c r="I28" s="96">
        <v>8</v>
      </c>
    </row>
    <row r="29" spans="2:9" ht="45" x14ac:dyDescent="0.25">
      <c r="B29" s="91" t="s">
        <v>28</v>
      </c>
      <c r="C29" s="93">
        <v>2</v>
      </c>
      <c r="D29" s="93" t="s">
        <v>59</v>
      </c>
      <c r="E29" s="93" t="s">
        <v>59</v>
      </c>
      <c r="F29" s="93" t="s">
        <v>59</v>
      </c>
      <c r="G29" s="93">
        <v>3</v>
      </c>
      <c r="H29" s="93" t="s">
        <v>59</v>
      </c>
      <c r="I29" s="96">
        <v>5</v>
      </c>
    </row>
    <row r="30" spans="2:9" ht="30" x14ac:dyDescent="0.25">
      <c r="B30" s="91" t="s">
        <v>20</v>
      </c>
      <c r="C30" s="93">
        <v>3</v>
      </c>
      <c r="D30" s="93" t="s">
        <v>59</v>
      </c>
      <c r="E30" s="93" t="s">
        <v>59</v>
      </c>
      <c r="F30" s="93" t="s">
        <v>59</v>
      </c>
      <c r="G30" s="93">
        <v>1</v>
      </c>
      <c r="H30" s="93" t="s">
        <v>59</v>
      </c>
      <c r="I30" s="96">
        <v>4</v>
      </c>
    </row>
    <row r="31" spans="2:9" ht="60" x14ac:dyDescent="0.25">
      <c r="B31" s="91" t="s">
        <v>29</v>
      </c>
      <c r="C31" s="93">
        <v>2</v>
      </c>
      <c r="D31" s="93" t="s">
        <v>59</v>
      </c>
      <c r="E31" s="93" t="s">
        <v>59</v>
      </c>
      <c r="F31" s="93" t="s">
        <v>59</v>
      </c>
      <c r="G31" s="93">
        <v>1</v>
      </c>
      <c r="H31" s="93" t="s">
        <v>59</v>
      </c>
      <c r="I31" s="96">
        <v>3</v>
      </c>
    </row>
    <row r="32" spans="2:9" ht="45" x14ac:dyDescent="0.25">
      <c r="B32" s="91" t="s">
        <v>32</v>
      </c>
      <c r="C32" s="93" t="s">
        <v>59</v>
      </c>
      <c r="D32" s="93">
        <v>3</v>
      </c>
      <c r="E32" s="93" t="s">
        <v>59</v>
      </c>
      <c r="F32" s="93" t="s">
        <v>59</v>
      </c>
      <c r="G32" s="93" t="s">
        <v>59</v>
      </c>
      <c r="H32" s="93" t="s">
        <v>59</v>
      </c>
      <c r="I32" s="96">
        <v>3</v>
      </c>
    </row>
    <row r="33" spans="2:9" ht="30" x14ac:dyDescent="0.25">
      <c r="B33" s="91" t="s">
        <v>23</v>
      </c>
      <c r="C33" s="93">
        <v>1</v>
      </c>
      <c r="D33" s="93">
        <v>1</v>
      </c>
      <c r="E33" s="93" t="s">
        <v>59</v>
      </c>
      <c r="F33" s="93" t="s">
        <v>59</v>
      </c>
      <c r="G33" s="93">
        <v>1</v>
      </c>
      <c r="H33" s="93" t="s">
        <v>59</v>
      </c>
      <c r="I33" s="96">
        <v>3</v>
      </c>
    </row>
    <row r="34" spans="2:9" x14ac:dyDescent="0.25">
      <c r="B34" s="91" t="s">
        <v>35</v>
      </c>
      <c r="C34" s="105">
        <v>464</v>
      </c>
      <c r="D34" s="105">
        <v>382</v>
      </c>
      <c r="E34" s="105">
        <v>40</v>
      </c>
      <c r="F34" s="105">
        <v>50</v>
      </c>
      <c r="G34" s="105">
        <v>217</v>
      </c>
      <c r="H34" s="105">
        <v>6</v>
      </c>
      <c r="I34" s="96">
        <v>1159</v>
      </c>
    </row>
  </sheetData>
  <mergeCells count="3">
    <mergeCell ref="B3:B4"/>
    <mergeCell ref="C3:H3"/>
    <mergeCell ref="I3:I4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2EA4-252A-40A8-9680-0D771A28E2C4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BF03-2BE6-4E39-961D-D9F345EBEA8B}">
  <dimension ref="A2:E25"/>
  <sheetViews>
    <sheetView workbookViewId="0">
      <selection activeCell="F4" sqref="F4:F5"/>
    </sheetView>
  </sheetViews>
  <sheetFormatPr baseColWidth="10" defaultRowHeight="15" x14ac:dyDescent="0.25"/>
  <cols>
    <col min="2" max="2" width="14.42578125" customWidth="1"/>
    <col min="3" max="3" width="13.7109375" customWidth="1"/>
    <col min="4" max="4" width="13.85546875" customWidth="1"/>
  </cols>
  <sheetData>
    <row r="2" spans="1:5" ht="45" x14ac:dyDescent="0.25">
      <c r="A2" s="32" t="s">
        <v>61</v>
      </c>
      <c r="B2" s="33" t="s">
        <v>79</v>
      </c>
      <c r="C2" s="33" t="s">
        <v>80</v>
      </c>
      <c r="D2" s="33" t="s">
        <v>81</v>
      </c>
      <c r="E2" s="34" t="s">
        <v>35</v>
      </c>
    </row>
    <row r="3" spans="1:5" x14ac:dyDescent="0.25">
      <c r="A3" s="10">
        <v>2002</v>
      </c>
      <c r="B3" s="37">
        <v>0</v>
      </c>
      <c r="C3" s="106">
        <v>0</v>
      </c>
      <c r="D3" s="36">
        <v>20</v>
      </c>
      <c r="E3" s="99">
        <f>SUM(Tabla26[[#This Row],[En proceso 
de Notificación]:[Concluidas]])</f>
        <v>20</v>
      </c>
    </row>
    <row r="4" spans="1:5" x14ac:dyDescent="0.25">
      <c r="A4" s="10">
        <v>2003</v>
      </c>
      <c r="B4" s="37">
        <v>0</v>
      </c>
      <c r="C4" s="106">
        <v>0</v>
      </c>
      <c r="D4" s="36">
        <v>19</v>
      </c>
      <c r="E4" s="99">
        <f>SUM(Tabla26[[#This Row],[En proceso 
de Notificación]:[Concluidas]])</f>
        <v>19</v>
      </c>
    </row>
    <row r="5" spans="1:5" x14ac:dyDescent="0.25">
      <c r="A5" s="10">
        <v>2004</v>
      </c>
      <c r="B5" s="37">
        <v>0</v>
      </c>
      <c r="C5" s="106">
        <v>0</v>
      </c>
      <c r="D5" s="36">
        <v>19</v>
      </c>
      <c r="E5" s="99">
        <f>SUM(Tabla26[[#This Row],[En proceso 
de Notificación]:[Concluidas]])</f>
        <v>19</v>
      </c>
    </row>
    <row r="6" spans="1:5" x14ac:dyDescent="0.25">
      <c r="A6" s="10">
        <v>2005</v>
      </c>
      <c r="B6" s="37">
        <v>0</v>
      </c>
      <c r="C6" s="106">
        <v>0</v>
      </c>
      <c r="D6" s="36">
        <v>15</v>
      </c>
      <c r="E6" s="99">
        <f>SUM(Tabla26[[#This Row],[En proceso 
de Notificación]:[Concluidas]])</f>
        <v>15</v>
      </c>
    </row>
    <row r="7" spans="1:5" x14ac:dyDescent="0.25">
      <c r="A7" s="10">
        <v>2006</v>
      </c>
      <c r="B7" s="37">
        <v>0</v>
      </c>
      <c r="C7" s="106">
        <v>0</v>
      </c>
      <c r="D7" s="36">
        <v>27</v>
      </c>
      <c r="E7" s="99">
        <f>SUM(Tabla26[[#This Row],[En proceso 
de Notificación]:[Concluidas]])</f>
        <v>27</v>
      </c>
    </row>
    <row r="8" spans="1:5" x14ac:dyDescent="0.25">
      <c r="A8" s="10">
        <v>2007</v>
      </c>
      <c r="B8" s="37">
        <v>0</v>
      </c>
      <c r="C8" s="106">
        <v>0</v>
      </c>
      <c r="D8" s="36">
        <v>77</v>
      </c>
      <c r="E8" s="99">
        <f>SUM(Tabla26[[#This Row],[En proceso 
de Notificación]:[Concluidas]])</f>
        <v>77</v>
      </c>
    </row>
    <row r="9" spans="1:5" x14ac:dyDescent="0.25">
      <c r="A9" s="10">
        <v>2008</v>
      </c>
      <c r="B9" s="37">
        <v>0</v>
      </c>
      <c r="C9" s="106">
        <v>0</v>
      </c>
      <c r="D9" s="36">
        <v>76</v>
      </c>
      <c r="E9" s="99">
        <f>SUM(Tabla26[[#This Row],[En proceso 
de Notificación]:[Concluidas]])</f>
        <v>76</v>
      </c>
    </row>
    <row r="10" spans="1:5" x14ac:dyDescent="0.25">
      <c r="A10" s="10">
        <v>2009</v>
      </c>
      <c r="B10" s="37">
        <v>0</v>
      </c>
      <c r="C10" s="106">
        <v>0</v>
      </c>
      <c r="D10" s="36">
        <v>67</v>
      </c>
      <c r="E10" s="99">
        <f>SUM(Tabla26[[#This Row],[En proceso 
de Notificación]:[Concluidas]])</f>
        <v>67</v>
      </c>
    </row>
    <row r="11" spans="1:5" x14ac:dyDescent="0.25">
      <c r="A11" s="10">
        <v>2010</v>
      </c>
      <c r="B11" s="37">
        <v>0</v>
      </c>
      <c r="C11" s="106">
        <v>0</v>
      </c>
      <c r="D11" s="36">
        <v>100</v>
      </c>
      <c r="E11" s="99">
        <f>SUM(Tabla26[[#This Row],[En proceso 
de Notificación]:[Concluidas]])</f>
        <v>100</v>
      </c>
    </row>
    <row r="12" spans="1:5" x14ac:dyDescent="0.25">
      <c r="A12" s="10">
        <v>2011</v>
      </c>
      <c r="B12" s="37">
        <v>0</v>
      </c>
      <c r="C12" s="106">
        <v>0</v>
      </c>
      <c r="D12" s="36">
        <v>110</v>
      </c>
      <c r="E12" s="99">
        <f>SUM(Tabla26[[#This Row],[En proceso 
de Notificación]:[Concluidas]])</f>
        <v>110</v>
      </c>
    </row>
    <row r="13" spans="1:5" x14ac:dyDescent="0.25">
      <c r="A13" s="10">
        <v>2012</v>
      </c>
      <c r="B13" s="37">
        <v>0</v>
      </c>
      <c r="C13" s="106">
        <v>0</v>
      </c>
      <c r="D13" s="36">
        <v>86</v>
      </c>
      <c r="E13" s="99">
        <f>SUM(Tabla26[[#This Row],[En proceso 
de Notificación]:[Concluidas]])</f>
        <v>86</v>
      </c>
    </row>
    <row r="14" spans="1:5" x14ac:dyDescent="0.25">
      <c r="A14" s="10">
        <v>2013</v>
      </c>
      <c r="B14" s="37">
        <v>0</v>
      </c>
      <c r="C14" s="106">
        <v>0</v>
      </c>
      <c r="D14" s="36">
        <v>57</v>
      </c>
      <c r="E14" s="99">
        <f>SUM(Tabla26[[#This Row],[En proceso 
de Notificación]:[Concluidas]])</f>
        <v>57</v>
      </c>
    </row>
    <row r="15" spans="1:5" x14ac:dyDescent="0.25">
      <c r="A15" s="10">
        <v>2014</v>
      </c>
      <c r="B15" s="37">
        <v>0</v>
      </c>
      <c r="C15" s="106">
        <v>0</v>
      </c>
      <c r="D15" s="36">
        <v>76</v>
      </c>
      <c r="E15" s="99">
        <f>SUM(Tabla26[[#This Row],[En proceso 
de Notificación]:[Concluidas]])</f>
        <v>76</v>
      </c>
    </row>
    <row r="16" spans="1:5" x14ac:dyDescent="0.25">
      <c r="A16" s="10">
        <v>2015</v>
      </c>
      <c r="B16" s="37">
        <v>0</v>
      </c>
      <c r="C16" s="106">
        <v>0</v>
      </c>
      <c r="D16" s="36">
        <v>75</v>
      </c>
      <c r="E16" s="99">
        <f>SUM(Tabla26[[#This Row],[En proceso 
de Notificación]:[Concluidas]])</f>
        <v>75</v>
      </c>
    </row>
    <row r="17" spans="1:5" x14ac:dyDescent="0.25">
      <c r="A17" s="10">
        <v>2016</v>
      </c>
      <c r="B17" s="37">
        <v>0</v>
      </c>
      <c r="C17" s="106">
        <v>0</v>
      </c>
      <c r="D17" s="36">
        <v>196</v>
      </c>
      <c r="E17" s="99">
        <f>SUM(Tabla26[[#This Row],[En proceso 
de Notificación]:[Concluidas]])</f>
        <v>196</v>
      </c>
    </row>
    <row r="18" spans="1:5" x14ac:dyDescent="0.25">
      <c r="A18" s="10">
        <v>2017</v>
      </c>
      <c r="B18" s="37">
        <v>0</v>
      </c>
      <c r="C18" s="106">
        <v>0</v>
      </c>
      <c r="D18" s="36">
        <v>143</v>
      </c>
      <c r="E18" s="99">
        <f>SUM(Tabla26[[#This Row],[En proceso 
de Notificación]:[Concluidas]])</f>
        <v>143</v>
      </c>
    </row>
    <row r="19" spans="1:5" x14ac:dyDescent="0.25">
      <c r="A19" s="10">
        <v>2018</v>
      </c>
      <c r="B19" s="37">
        <v>0</v>
      </c>
      <c r="C19" s="106">
        <v>0</v>
      </c>
      <c r="D19" s="36">
        <v>206</v>
      </c>
      <c r="E19" s="99">
        <f>SUM(Tabla26[[#This Row],[En proceso 
de Notificación]:[Concluidas]])</f>
        <v>206</v>
      </c>
    </row>
    <row r="20" spans="1:5" x14ac:dyDescent="0.25">
      <c r="A20" s="10">
        <v>2019</v>
      </c>
      <c r="B20" s="37">
        <v>0</v>
      </c>
      <c r="C20" s="106">
        <v>0</v>
      </c>
      <c r="D20" s="36">
        <v>116</v>
      </c>
      <c r="E20" s="99">
        <f>SUM(Tabla26[[#This Row],[En proceso 
de Notificación]:[Concluidas]])</f>
        <v>116</v>
      </c>
    </row>
    <row r="21" spans="1:5" x14ac:dyDescent="0.25">
      <c r="A21" s="10">
        <v>2020</v>
      </c>
      <c r="B21" s="37">
        <v>0</v>
      </c>
      <c r="C21" s="106">
        <v>0</v>
      </c>
      <c r="D21" s="36">
        <v>123</v>
      </c>
      <c r="E21" s="99">
        <f>SUM(Tabla26[[#This Row],[En proceso 
de Notificación]:[Concluidas]])</f>
        <v>123</v>
      </c>
    </row>
    <row r="22" spans="1:5" x14ac:dyDescent="0.25">
      <c r="A22" s="10">
        <v>2021</v>
      </c>
      <c r="B22" s="37">
        <v>0</v>
      </c>
      <c r="C22" s="106">
        <v>0</v>
      </c>
      <c r="D22" s="36">
        <v>115</v>
      </c>
      <c r="E22" s="99">
        <f>SUM(Tabla26[[#This Row],[En proceso 
de Notificación]:[Concluidas]])</f>
        <v>115</v>
      </c>
    </row>
    <row r="23" spans="1:5" x14ac:dyDescent="0.25">
      <c r="A23" s="10">
        <v>2022</v>
      </c>
      <c r="B23" s="37">
        <v>0</v>
      </c>
      <c r="C23" s="106">
        <v>0</v>
      </c>
      <c r="D23" s="36">
        <v>176</v>
      </c>
      <c r="E23" s="99">
        <f>SUM(Tabla26[[#This Row],[En proceso 
de Notificación]:[Concluidas]])</f>
        <v>176</v>
      </c>
    </row>
    <row r="24" spans="1:5" x14ac:dyDescent="0.25">
      <c r="A24" s="10">
        <v>2023</v>
      </c>
      <c r="B24" s="37">
        <v>0</v>
      </c>
      <c r="C24" s="106">
        <v>0</v>
      </c>
      <c r="D24" s="36">
        <v>3</v>
      </c>
      <c r="E24" s="99">
        <f>SUM(Tabla26[[#This Row],[En proceso 
de Notificación]:[Concluidas]])</f>
        <v>3</v>
      </c>
    </row>
    <row r="25" spans="1:5" x14ac:dyDescent="0.25">
      <c r="A25" s="81" t="s">
        <v>35</v>
      </c>
      <c r="B25" s="49">
        <f>SUBTOTAL(109,B3:B24)</f>
        <v>0</v>
      </c>
      <c r="C25" s="50">
        <f t="shared" ref="C25:D25" si="0">SUBTOTAL(109,C3:C24)</f>
        <v>0</v>
      </c>
      <c r="D25" s="48">
        <f t="shared" si="0"/>
        <v>1902</v>
      </c>
      <c r="E25" s="99">
        <f>SUBTOTAL(109,E3:E24)</f>
        <v>1902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BAB-18CC-4E1E-8F21-B056B1C84BD9}">
  <dimension ref="A1"/>
  <sheetViews>
    <sheetView workbookViewId="0">
      <selection activeCell="M27" sqref="M2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F1CE-779A-4391-A11E-9B055E5F3CF5}">
  <dimension ref="B3:Y9"/>
  <sheetViews>
    <sheetView workbookViewId="0">
      <selection activeCell="C1" sqref="C1:Y1048576"/>
    </sheetView>
  </sheetViews>
  <sheetFormatPr baseColWidth="10" defaultRowHeight="15" x14ac:dyDescent="0.25"/>
  <cols>
    <col min="2" max="2" width="28.140625" customWidth="1"/>
    <col min="3" max="25" width="5.85546875" customWidth="1"/>
  </cols>
  <sheetData>
    <row r="3" spans="2:25" x14ac:dyDescent="0.25">
      <c r="B3" s="83" t="s">
        <v>0</v>
      </c>
      <c r="C3" s="111" t="s">
        <v>36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2"/>
      <c r="X3" s="112"/>
      <c r="Y3" s="87" t="s">
        <v>35</v>
      </c>
    </row>
    <row r="4" spans="2:25" x14ac:dyDescent="0.25">
      <c r="B4" s="83"/>
      <c r="C4" s="98" t="s">
        <v>37</v>
      </c>
      <c r="D4" s="98" t="s">
        <v>38</v>
      </c>
      <c r="E4" s="98" t="s">
        <v>39</v>
      </c>
      <c r="F4" s="98" t="s">
        <v>40</v>
      </c>
      <c r="G4" s="98" t="s">
        <v>41</v>
      </c>
      <c r="H4" s="98" t="s">
        <v>42</v>
      </c>
      <c r="I4" s="98" t="s">
        <v>43</v>
      </c>
      <c r="J4" s="98" t="s">
        <v>44</v>
      </c>
      <c r="K4" s="98" t="s">
        <v>45</v>
      </c>
      <c r="L4" s="98" t="s">
        <v>46</v>
      </c>
      <c r="M4" s="98" t="s">
        <v>47</v>
      </c>
      <c r="N4" s="98" t="s">
        <v>48</v>
      </c>
      <c r="O4" s="98" t="s">
        <v>49</v>
      </c>
      <c r="P4" s="98" t="s">
        <v>50</v>
      </c>
      <c r="Q4" s="98" t="s">
        <v>51</v>
      </c>
      <c r="R4" s="98" t="s">
        <v>52</v>
      </c>
      <c r="S4" s="98" t="s">
        <v>53</v>
      </c>
      <c r="T4" s="98" t="s">
        <v>54</v>
      </c>
      <c r="U4" s="98" t="s">
        <v>55</v>
      </c>
      <c r="V4" s="98" t="s">
        <v>56</v>
      </c>
      <c r="W4" s="104" t="s">
        <v>57</v>
      </c>
      <c r="X4" s="104" t="s">
        <v>58</v>
      </c>
      <c r="Y4" s="87"/>
    </row>
    <row r="5" spans="2:25" ht="45" x14ac:dyDescent="0.25">
      <c r="B5" s="91" t="s">
        <v>5</v>
      </c>
      <c r="C5" s="93">
        <v>20</v>
      </c>
      <c r="D5" s="93">
        <v>19</v>
      </c>
      <c r="E5" s="93">
        <v>19</v>
      </c>
      <c r="F5" s="93">
        <v>14</v>
      </c>
      <c r="G5" s="93">
        <v>26</v>
      </c>
      <c r="H5" s="93">
        <v>74</v>
      </c>
      <c r="I5" s="93">
        <v>66</v>
      </c>
      <c r="J5" s="93">
        <v>61</v>
      </c>
      <c r="K5" s="93">
        <v>76</v>
      </c>
      <c r="L5" s="93">
        <v>85</v>
      </c>
      <c r="M5" s="93">
        <v>68</v>
      </c>
      <c r="N5" s="93">
        <v>51</v>
      </c>
      <c r="O5" s="93">
        <v>57</v>
      </c>
      <c r="P5" s="93">
        <v>59</v>
      </c>
      <c r="Q5" s="93">
        <v>146</v>
      </c>
      <c r="R5" s="93">
        <v>102</v>
      </c>
      <c r="S5" s="93">
        <v>149</v>
      </c>
      <c r="T5" s="93">
        <v>70</v>
      </c>
      <c r="U5" s="93">
        <v>93</v>
      </c>
      <c r="V5" s="93">
        <v>82</v>
      </c>
      <c r="W5" s="93">
        <v>128</v>
      </c>
      <c r="X5" s="93">
        <v>2</v>
      </c>
      <c r="Y5" s="96">
        <f>SUM(Tabla25[[#This Row],[2002]:[2023]])</f>
        <v>1467</v>
      </c>
    </row>
    <row r="6" spans="2:25" ht="90" x14ac:dyDescent="0.25">
      <c r="B6" s="91" t="s">
        <v>10</v>
      </c>
      <c r="C6" s="93" t="s">
        <v>59</v>
      </c>
      <c r="D6" s="93" t="s">
        <v>59</v>
      </c>
      <c r="E6" s="93" t="s">
        <v>59</v>
      </c>
      <c r="F6" s="93">
        <v>1</v>
      </c>
      <c r="G6" s="93">
        <v>1</v>
      </c>
      <c r="H6" s="93">
        <v>3</v>
      </c>
      <c r="I6" s="93">
        <v>4</v>
      </c>
      <c r="J6" s="93">
        <v>4</v>
      </c>
      <c r="K6" s="93">
        <v>9</v>
      </c>
      <c r="L6" s="93">
        <v>25</v>
      </c>
      <c r="M6" s="93">
        <v>17</v>
      </c>
      <c r="N6" s="93">
        <v>3</v>
      </c>
      <c r="O6" s="93">
        <v>19</v>
      </c>
      <c r="P6" s="93">
        <v>16</v>
      </c>
      <c r="Q6" s="93">
        <v>46</v>
      </c>
      <c r="R6" s="93">
        <v>38</v>
      </c>
      <c r="S6" s="93">
        <v>52</v>
      </c>
      <c r="T6" s="93">
        <v>45</v>
      </c>
      <c r="U6" s="93">
        <v>30</v>
      </c>
      <c r="V6" s="93">
        <v>33</v>
      </c>
      <c r="W6" s="93">
        <v>45</v>
      </c>
      <c r="X6" s="93">
        <v>1</v>
      </c>
      <c r="Y6" s="96">
        <f>SUM(Tabla25[[#This Row],[2002]:[2023]])</f>
        <v>392</v>
      </c>
    </row>
    <row r="7" spans="2:25" ht="75" x14ac:dyDescent="0.25">
      <c r="B7" s="91" t="s">
        <v>4</v>
      </c>
      <c r="C7" s="93" t="s">
        <v>59</v>
      </c>
      <c r="D7" s="93" t="s">
        <v>59</v>
      </c>
      <c r="E7" s="93" t="s">
        <v>59</v>
      </c>
      <c r="F7" s="93" t="s">
        <v>59</v>
      </c>
      <c r="G7" s="93" t="s">
        <v>59</v>
      </c>
      <c r="H7" s="93" t="s">
        <v>59</v>
      </c>
      <c r="I7" s="93">
        <v>6</v>
      </c>
      <c r="J7" s="93">
        <v>1</v>
      </c>
      <c r="K7" s="93">
        <v>10</v>
      </c>
      <c r="L7" s="93" t="s">
        <v>59</v>
      </c>
      <c r="M7" s="93" t="s">
        <v>59</v>
      </c>
      <c r="N7" s="93">
        <v>3</v>
      </c>
      <c r="O7" s="93" t="s">
        <v>59</v>
      </c>
      <c r="P7" s="93" t="s">
        <v>59</v>
      </c>
      <c r="Q7" s="93">
        <v>3</v>
      </c>
      <c r="R7" s="93">
        <v>3</v>
      </c>
      <c r="S7" s="93">
        <v>5</v>
      </c>
      <c r="T7" s="93">
        <v>1</v>
      </c>
      <c r="U7" s="93" t="s">
        <v>59</v>
      </c>
      <c r="V7" s="93" t="s">
        <v>59</v>
      </c>
      <c r="W7" s="93">
        <v>3</v>
      </c>
      <c r="X7" s="93" t="s">
        <v>59</v>
      </c>
      <c r="Y7" s="96">
        <f>SUM(Tabla25[[#This Row],[2002]:[2023]])</f>
        <v>35</v>
      </c>
    </row>
    <row r="8" spans="2:25" ht="90" x14ac:dyDescent="0.25">
      <c r="B8" s="91" t="s">
        <v>12</v>
      </c>
      <c r="C8" s="93" t="s">
        <v>59</v>
      </c>
      <c r="D8" s="93" t="s">
        <v>59</v>
      </c>
      <c r="E8" s="93" t="s">
        <v>59</v>
      </c>
      <c r="F8" s="93" t="s">
        <v>59</v>
      </c>
      <c r="G8" s="93" t="s">
        <v>59</v>
      </c>
      <c r="H8" s="93" t="s">
        <v>59</v>
      </c>
      <c r="I8" s="93" t="s">
        <v>59</v>
      </c>
      <c r="J8" s="93">
        <v>1</v>
      </c>
      <c r="K8" s="93">
        <v>5</v>
      </c>
      <c r="L8" s="93" t="s">
        <v>59</v>
      </c>
      <c r="M8" s="93">
        <v>1</v>
      </c>
      <c r="N8" s="93" t="s">
        <v>59</v>
      </c>
      <c r="O8" s="93" t="s">
        <v>59</v>
      </c>
      <c r="P8" s="93" t="s">
        <v>59</v>
      </c>
      <c r="Q8" s="93">
        <v>1</v>
      </c>
      <c r="R8" s="93" t="s">
        <v>59</v>
      </c>
      <c r="S8" s="93" t="s">
        <v>59</v>
      </c>
      <c r="T8" s="93" t="s">
        <v>59</v>
      </c>
      <c r="U8" s="93" t="s">
        <v>59</v>
      </c>
      <c r="V8" s="93" t="s">
        <v>59</v>
      </c>
      <c r="W8" s="93" t="s">
        <v>59</v>
      </c>
      <c r="X8" s="93" t="s">
        <v>59</v>
      </c>
      <c r="Y8" s="96">
        <f>SUM(Tabla25[[#This Row],[2002]:[2023]])</f>
        <v>8</v>
      </c>
    </row>
    <row r="9" spans="2:25" x14ac:dyDescent="0.25">
      <c r="B9" s="91" t="s">
        <v>35</v>
      </c>
      <c r="C9" s="105">
        <f>SUBTOTAL(109,C5:C8)</f>
        <v>20</v>
      </c>
      <c r="D9" s="105">
        <f t="shared" ref="D9:X9" si="0">SUBTOTAL(109,D5:D8)</f>
        <v>19</v>
      </c>
      <c r="E9" s="105">
        <f t="shared" si="0"/>
        <v>19</v>
      </c>
      <c r="F9" s="105">
        <f t="shared" si="0"/>
        <v>15</v>
      </c>
      <c r="G9" s="105">
        <f t="shared" si="0"/>
        <v>27</v>
      </c>
      <c r="H9" s="105">
        <f t="shared" si="0"/>
        <v>77</v>
      </c>
      <c r="I9" s="105">
        <f t="shared" si="0"/>
        <v>76</v>
      </c>
      <c r="J9" s="105">
        <f t="shared" si="0"/>
        <v>67</v>
      </c>
      <c r="K9" s="105">
        <f t="shared" si="0"/>
        <v>100</v>
      </c>
      <c r="L9" s="105">
        <f t="shared" si="0"/>
        <v>110</v>
      </c>
      <c r="M9" s="105">
        <f t="shared" si="0"/>
        <v>86</v>
      </c>
      <c r="N9" s="105">
        <f t="shared" si="0"/>
        <v>57</v>
      </c>
      <c r="O9" s="105">
        <f t="shared" si="0"/>
        <v>76</v>
      </c>
      <c r="P9" s="105">
        <f t="shared" si="0"/>
        <v>75</v>
      </c>
      <c r="Q9" s="105">
        <f t="shared" si="0"/>
        <v>196</v>
      </c>
      <c r="R9" s="105">
        <f t="shared" si="0"/>
        <v>143</v>
      </c>
      <c r="S9" s="105">
        <f t="shared" si="0"/>
        <v>206</v>
      </c>
      <c r="T9" s="105">
        <f t="shared" si="0"/>
        <v>116</v>
      </c>
      <c r="U9" s="105">
        <f t="shared" si="0"/>
        <v>123</v>
      </c>
      <c r="V9" s="105">
        <f t="shared" si="0"/>
        <v>115</v>
      </c>
      <c r="W9" s="105">
        <f t="shared" si="0"/>
        <v>176</v>
      </c>
      <c r="X9" s="105">
        <f t="shared" si="0"/>
        <v>3</v>
      </c>
      <c r="Y9" s="96">
        <f>SUM(Y5:Y8)</f>
        <v>1902</v>
      </c>
    </row>
  </sheetData>
  <mergeCells count="3">
    <mergeCell ref="B3:B4"/>
    <mergeCell ref="C3:V3"/>
    <mergeCell ref="Y3:Y4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38C6-8E8A-4FD3-91D2-D523056BCD4A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50C6-F8C3-4ABD-8A16-D9A42D1C7E99}">
  <dimension ref="B3:F26"/>
  <sheetViews>
    <sheetView workbookViewId="0">
      <selection activeCell="E3" sqref="E3"/>
    </sheetView>
  </sheetViews>
  <sheetFormatPr baseColWidth="10" defaultRowHeight="15" x14ac:dyDescent="0.25"/>
  <cols>
    <col min="3" max="3" width="13.85546875" customWidth="1"/>
    <col min="4" max="4" width="13.140625" customWidth="1"/>
  </cols>
  <sheetData>
    <row r="3" spans="2:6" ht="60" x14ac:dyDescent="0.25">
      <c r="B3" s="32" t="s">
        <v>61</v>
      </c>
      <c r="C3" s="33" t="s">
        <v>79</v>
      </c>
      <c r="D3" s="33" t="s">
        <v>80</v>
      </c>
      <c r="E3" s="33" t="s">
        <v>81</v>
      </c>
      <c r="F3" s="34" t="s">
        <v>35</v>
      </c>
    </row>
    <row r="4" spans="2:6" x14ac:dyDescent="0.25">
      <c r="B4" s="10">
        <v>2002</v>
      </c>
      <c r="C4" s="37">
        <v>0</v>
      </c>
      <c r="D4" s="37">
        <v>0</v>
      </c>
      <c r="E4" s="36">
        <v>336</v>
      </c>
      <c r="F4" s="99">
        <f>SUM(Tabla28[[#This Row],[En proceso 
de Notificación]:[Concluidas]])</f>
        <v>336</v>
      </c>
    </row>
    <row r="5" spans="2:6" x14ac:dyDescent="0.25">
      <c r="B5" s="10">
        <v>2003</v>
      </c>
      <c r="C5" s="37">
        <v>0</v>
      </c>
      <c r="D5" s="37">
        <v>0</v>
      </c>
      <c r="E5" s="36">
        <v>540</v>
      </c>
      <c r="F5" s="99">
        <f>SUM(Tabla28[[#This Row],[En proceso 
de Notificación]:[Concluidas]])</f>
        <v>540</v>
      </c>
    </row>
    <row r="6" spans="2:6" x14ac:dyDescent="0.25">
      <c r="B6" s="10">
        <v>2004</v>
      </c>
      <c r="C6" s="37">
        <v>0</v>
      </c>
      <c r="D6" s="37">
        <v>0</v>
      </c>
      <c r="E6" s="36">
        <v>221</v>
      </c>
      <c r="F6" s="99">
        <f>SUM(Tabla28[[#This Row],[En proceso 
de Notificación]:[Concluidas]])</f>
        <v>221</v>
      </c>
    </row>
    <row r="7" spans="2:6" x14ac:dyDescent="0.25">
      <c r="B7" s="10">
        <v>2005</v>
      </c>
      <c r="C7" s="37">
        <v>0</v>
      </c>
      <c r="D7" s="37">
        <v>0</v>
      </c>
      <c r="E7" s="36">
        <v>144</v>
      </c>
      <c r="F7" s="99">
        <f>SUM(Tabla28[[#This Row],[En proceso 
de Notificación]:[Concluidas]])</f>
        <v>144</v>
      </c>
    </row>
    <row r="8" spans="2:6" x14ac:dyDescent="0.25">
      <c r="B8" s="10">
        <v>2006</v>
      </c>
      <c r="C8" s="37">
        <v>0</v>
      </c>
      <c r="D8" s="37">
        <v>0</v>
      </c>
      <c r="E8" s="36">
        <v>357</v>
      </c>
      <c r="F8" s="99">
        <f>SUM(Tabla28[[#This Row],[En proceso 
de Notificación]:[Concluidas]])</f>
        <v>357</v>
      </c>
    </row>
    <row r="9" spans="2:6" x14ac:dyDescent="0.25">
      <c r="B9" s="10">
        <v>2007</v>
      </c>
      <c r="C9" s="37">
        <v>0</v>
      </c>
      <c r="D9" s="37">
        <v>0</v>
      </c>
      <c r="E9" s="36">
        <v>384</v>
      </c>
      <c r="F9" s="99">
        <f>SUM(Tabla28[[#This Row],[En proceso 
de Notificación]:[Concluidas]])</f>
        <v>384</v>
      </c>
    </row>
    <row r="10" spans="2:6" x14ac:dyDescent="0.25">
      <c r="B10" s="10">
        <v>2008</v>
      </c>
      <c r="C10" s="37">
        <v>0</v>
      </c>
      <c r="D10" s="37">
        <v>0</v>
      </c>
      <c r="E10" s="36">
        <v>211</v>
      </c>
      <c r="F10" s="99">
        <f>SUM(Tabla28[[#This Row],[En proceso 
de Notificación]:[Concluidas]])</f>
        <v>211</v>
      </c>
    </row>
    <row r="11" spans="2:6" x14ac:dyDescent="0.25">
      <c r="B11" s="10">
        <v>2009</v>
      </c>
      <c r="C11" s="37">
        <v>0</v>
      </c>
      <c r="D11" s="37">
        <v>0</v>
      </c>
      <c r="E11" s="36">
        <v>382</v>
      </c>
      <c r="F11" s="99">
        <f>SUM(Tabla28[[#This Row],[En proceso 
de Notificación]:[Concluidas]])</f>
        <v>382</v>
      </c>
    </row>
    <row r="12" spans="2:6" x14ac:dyDescent="0.25">
      <c r="B12" s="10">
        <v>2010</v>
      </c>
      <c r="C12" s="37">
        <v>0</v>
      </c>
      <c r="D12" s="37">
        <v>0</v>
      </c>
      <c r="E12" s="36">
        <v>439</v>
      </c>
      <c r="F12" s="99">
        <f>SUM(Tabla28[[#This Row],[En proceso 
de Notificación]:[Concluidas]])</f>
        <v>439</v>
      </c>
    </row>
    <row r="13" spans="2:6" x14ac:dyDescent="0.25">
      <c r="B13" s="10">
        <v>2011</v>
      </c>
      <c r="C13" s="37">
        <v>0</v>
      </c>
      <c r="D13" s="37">
        <v>0</v>
      </c>
      <c r="E13" s="36">
        <v>409</v>
      </c>
      <c r="F13" s="99">
        <f>SUM(Tabla28[[#This Row],[En proceso 
de Notificación]:[Concluidas]])</f>
        <v>409</v>
      </c>
    </row>
    <row r="14" spans="2:6" x14ac:dyDescent="0.25">
      <c r="B14" s="10">
        <v>2012</v>
      </c>
      <c r="C14" s="37">
        <v>0</v>
      </c>
      <c r="D14" s="37">
        <v>0</v>
      </c>
      <c r="E14" s="36">
        <v>591</v>
      </c>
      <c r="F14" s="99">
        <f>SUM(Tabla28[[#This Row],[En proceso 
de Notificación]:[Concluidas]])</f>
        <v>591</v>
      </c>
    </row>
    <row r="15" spans="2:6" x14ac:dyDescent="0.25">
      <c r="B15" s="10">
        <v>2013</v>
      </c>
      <c r="C15" s="37">
        <v>0</v>
      </c>
      <c r="D15" s="37">
        <v>0</v>
      </c>
      <c r="E15" s="36">
        <v>783</v>
      </c>
      <c r="F15" s="99">
        <f>SUM(Tabla28[[#This Row],[En proceso 
de Notificación]:[Concluidas]])</f>
        <v>783</v>
      </c>
    </row>
    <row r="16" spans="2:6" x14ac:dyDescent="0.25">
      <c r="B16" s="10">
        <v>2014</v>
      </c>
      <c r="C16" s="37">
        <v>0</v>
      </c>
      <c r="D16" s="37">
        <v>0</v>
      </c>
      <c r="E16" s="36">
        <v>1208</v>
      </c>
      <c r="F16" s="99">
        <f>SUM(Tabla28[[#This Row],[En proceso 
de Notificación]:[Concluidas]])</f>
        <v>1208</v>
      </c>
    </row>
    <row r="17" spans="2:6" x14ac:dyDescent="0.25">
      <c r="B17" s="10">
        <v>2015</v>
      </c>
      <c r="C17" s="37">
        <v>0</v>
      </c>
      <c r="D17" s="37">
        <v>0</v>
      </c>
      <c r="E17" s="36">
        <v>377</v>
      </c>
      <c r="F17" s="99">
        <f>SUM(Tabla28[[#This Row],[En proceso 
de Notificación]:[Concluidas]])</f>
        <v>377</v>
      </c>
    </row>
    <row r="18" spans="2:6" x14ac:dyDescent="0.25">
      <c r="B18" s="10">
        <v>2016</v>
      </c>
      <c r="C18" s="37">
        <v>0</v>
      </c>
      <c r="D18" s="37">
        <v>0</v>
      </c>
      <c r="E18" s="36">
        <v>643</v>
      </c>
      <c r="F18" s="99">
        <f>SUM(Tabla28[[#This Row],[En proceso 
de Notificación]:[Concluidas]])</f>
        <v>643</v>
      </c>
    </row>
    <row r="19" spans="2:6" x14ac:dyDescent="0.25">
      <c r="B19" s="10">
        <v>2017</v>
      </c>
      <c r="C19" s="37">
        <v>0</v>
      </c>
      <c r="D19" s="37">
        <v>0</v>
      </c>
      <c r="E19" s="36">
        <v>204</v>
      </c>
      <c r="F19" s="99">
        <f>SUM(Tabla28[[#This Row],[En proceso 
de Notificación]:[Concluidas]])</f>
        <v>204</v>
      </c>
    </row>
    <row r="20" spans="2:6" x14ac:dyDescent="0.25">
      <c r="B20" s="10">
        <v>2018</v>
      </c>
      <c r="C20" s="37">
        <v>0</v>
      </c>
      <c r="D20" s="37">
        <v>11</v>
      </c>
      <c r="E20" s="36">
        <v>136</v>
      </c>
      <c r="F20" s="99">
        <f>SUM(Tabla28[[#This Row],[En proceso 
de Notificación]:[Concluidas]])</f>
        <v>147</v>
      </c>
    </row>
    <row r="21" spans="2:6" x14ac:dyDescent="0.25">
      <c r="B21" s="10">
        <v>2019</v>
      </c>
      <c r="C21" s="37">
        <v>0</v>
      </c>
      <c r="D21" s="37">
        <v>148</v>
      </c>
      <c r="E21" s="36">
        <v>46</v>
      </c>
      <c r="F21" s="99">
        <f>SUM(Tabla28[[#This Row],[En proceso 
de Notificación]:[Concluidas]])</f>
        <v>194</v>
      </c>
    </row>
    <row r="22" spans="2:6" x14ac:dyDescent="0.25">
      <c r="B22" s="10">
        <v>2020</v>
      </c>
      <c r="C22" s="37">
        <v>0</v>
      </c>
      <c r="D22" s="37">
        <v>0</v>
      </c>
      <c r="E22" s="36">
        <v>204</v>
      </c>
      <c r="F22" s="99">
        <f>SUM(Tabla28[[#This Row],[En proceso 
de Notificación]:[Concluidas]])</f>
        <v>204</v>
      </c>
    </row>
    <row r="23" spans="2:6" x14ac:dyDescent="0.25">
      <c r="B23" s="10">
        <v>2021</v>
      </c>
      <c r="C23" s="37">
        <v>0</v>
      </c>
      <c r="D23" s="37">
        <v>0</v>
      </c>
      <c r="E23" s="36">
        <v>181</v>
      </c>
      <c r="F23" s="99">
        <f>SUM(Tabla28[[#This Row],[En proceso 
de Notificación]:[Concluidas]])</f>
        <v>181</v>
      </c>
    </row>
    <row r="24" spans="2:6" x14ac:dyDescent="0.25">
      <c r="B24" s="10">
        <v>2022</v>
      </c>
      <c r="C24" s="37">
        <v>0</v>
      </c>
      <c r="D24" s="37">
        <v>81</v>
      </c>
      <c r="E24" s="36">
        <v>30</v>
      </c>
      <c r="F24" s="99">
        <f>SUM(Tabla28[[#This Row],[En proceso 
de Notificación]:[Concluidas]])</f>
        <v>111</v>
      </c>
    </row>
    <row r="25" spans="2:6" x14ac:dyDescent="0.25">
      <c r="B25" s="10">
        <v>2023</v>
      </c>
      <c r="C25" s="37">
        <v>0</v>
      </c>
      <c r="D25" s="37">
        <v>1</v>
      </c>
      <c r="E25" s="36">
        <v>0</v>
      </c>
      <c r="F25" s="99">
        <f>SUM(Tabla28[[#This Row],[En proceso 
de Notificación]:[Concluidas]])</f>
        <v>1</v>
      </c>
    </row>
    <row r="26" spans="2:6" x14ac:dyDescent="0.25">
      <c r="B26" s="81" t="s">
        <v>35</v>
      </c>
      <c r="C26" s="49">
        <f>SUBTOTAL(109,C4:C25)</f>
        <v>0</v>
      </c>
      <c r="D26" s="49">
        <f t="shared" ref="D26:E26" si="0">SUBTOTAL(109,D4:D25)</f>
        <v>241</v>
      </c>
      <c r="E26" s="48">
        <f t="shared" si="0"/>
        <v>7826</v>
      </c>
      <c r="F26" s="99">
        <f>SUM(Tabla28[[#This Row],[En proceso 
de Notificación]:[Concluidas]])</f>
        <v>8067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32B1-DD3C-485A-9AB8-0F25044F8C1D}">
  <dimension ref="B3:Y33"/>
  <sheetViews>
    <sheetView workbookViewId="0">
      <selection activeCell="Z8" sqref="Z8"/>
    </sheetView>
  </sheetViews>
  <sheetFormatPr baseColWidth="10" defaultRowHeight="15" x14ac:dyDescent="0.25"/>
  <cols>
    <col min="2" max="2" width="29.5703125" customWidth="1"/>
    <col min="3" max="25" width="6.28515625" customWidth="1"/>
  </cols>
  <sheetData>
    <row r="3" spans="2:25" x14ac:dyDescent="0.25">
      <c r="B3" s="83" t="s">
        <v>0</v>
      </c>
      <c r="C3" s="111" t="s">
        <v>36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2"/>
      <c r="X3" s="112"/>
      <c r="Y3" s="87" t="s">
        <v>35</v>
      </c>
    </row>
    <row r="4" spans="2:25" x14ac:dyDescent="0.25">
      <c r="B4" s="83"/>
      <c r="C4" s="98" t="s">
        <v>37</v>
      </c>
      <c r="D4" s="98" t="s">
        <v>38</v>
      </c>
      <c r="E4" s="98" t="s">
        <v>39</v>
      </c>
      <c r="F4" s="98" t="s">
        <v>40</v>
      </c>
      <c r="G4" s="98" t="s">
        <v>41</v>
      </c>
      <c r="H4" s="98" t="s">
        <v>42</v>
      </c>
      <c r="I4" s="98" t="s">
        <v>43</v>
      </c>
      <c r="J4" s="98" t="s">
        <v>44</v>
      </c>
      <c r="K4" s="98" t="s">
        <v>45</v>
      </c>
      <c r="L4" s="98" t="s">
        <v>46</v>
      </c>
      <c r="M4" s="98" t="s">
        <v>47</v>
      </c>
      <c r="N4" s="98" t="s">
        <v>48</v>
      </c>
      <c r="O4" s="98" t="s">
        <v>49</v>
      </c>
      <c r="P4" s="98" t="s">
        <v>50</v>
      </c>
      <c r="Q4" s="98" t="s">
        <v>51</v>
      </c>
      <c r="R4" s="98" t="s">
        <v>52</v>
      </c>
      <c r="S4" s="98" t="s">
        <v>53</v>
      </c>
      <c r="T4" s="98" t="s">
        <v>54</v>
      </c>
      <c r="U4" s="98" t="s">
        <v>55</v>
      </c>
      <c r="V4" s="98" t="s">
        <v>56</v>
      </c>
      <c r="W4" s="104" t="s">
        <v>57</v>
      </c>
      <c r="X4" s="104" t="s">
        <v>58</v>
      </c>
      <c r="Y4" s="87"/>
    </row>
    <row r="5" spans="2:25" ht="75" x14ac:dyDescent="0.25">
      <c r="B5" s="91" t="s">
        <v>4</v>
      </c>
      <c r="C5" s="93">
        <v>40</v>
      </c>
      <c r="D5" s="93">
        <v>149</v>
      </c>
      <c r="E5" s="93">
        <v>53</v>
      </c>
      <c r="F5" s="93">
        <v>32</v>
      </c>
      <c r="G5" s="93">
        <v>36</v>
      </c>
      <c r="H5" s="93">
        <v>64</v>
      </c>
      <c r="I5" s="93">
        <v>37</v>
      </c>
      <c r="J5" s="93">
        <v>58</v>
      </c>
      <c r="K5" s="93">
        <v>28</v>
      </c>
      <c r="L5" s="93">
        <v>58</v>
      </c>
      <c r="M5" s="93">
        <v>273</v>
      </c>
      <c r="N5" s="93">
        <v>396</v>
      </c>
      <c r="O5" s="93">
        <v>846</v>
      </c>
      <c r="P5" s="93">
        <v>203</v>
      </c>
      <c r="Q5" s="93">
        <v>277</v>
      </c>
      <c r="R5" s="93">
        <v>124</v>
      </c>
      <c r="S5" s="93">
        <v>137</v>
      </c>
      <c r="T5" s="93">
        <v>156</v>
      </c>
      <c r="U5" s="93">
        <v>153</v>
      </c>
      <c r="V5" s="93">
        <v>151</v>
      </c>
      <c r="W5" s="95">
        <v>101</v>
      </c>
      <c r="X5" s="95">
        <v>1</v>
      </c>
      <c r="Y5" s="96">
        <f>SUM(Tabla40[[#This Row],[2002]:[2023]])</f>
        <v>3373</v>
      </c>
    </row>
    <row r="6" spans="2:25" ht="90" x14ac:dyDescent="0.25">
      <c r="B6" s="91" t="s">
        <v>7</v>
      </c>
      <c r="C6" s="93">
        <v>62</v>
      </c>
      <c r="D6" s="93">
        <v>35</v>
      </c>
      <c r="E6" s="93">
        <v>30</v>
      </c>
      <c r="F6" s="93">
        <v>7</v>
      </c>
      <c r="G6" s="93">
        <v>67</v>
      </c>
      <c r="H6" s="93">
        <v>52</v>
      </c>
      <c r="I6" s="93">
        <v>14</v>
      </c>
      <c r="J6" s="93">
        <v>52</v>
      </c>
      <c r="K6" s="93">
        <v>63</v>
      </c>
      <c r="L6" s="93">
        <v>64</v>
      </c>
      <c r="M6" s="93">
        <v>162</v>
      </c>
      <c r="N6" s="93">
        <v>264</v>
      </c>
      <c r="O6" s="93">
        <v>221</v>
      </c>
      <c r="P6" s="93">
        <v>85</v>
      </c>
      <c r="Q6" s="93">
        <v>197</v>
      </c>
      <c r="R6" s="93">
        <v>42</v>
      </c>
      <c r="S6" s="93">
        <v>4</v>
      </c>
      <c r="T6" s="93">
        <v>3</v>
      </c>
      <c r="U6" s="93">
        <v>1</v>
      </c>
      <c r="V6" s="93">
        <v>2</v>
      </c>
      <c r="W6" s="93" t="s">
        <v>59</v>
      </c>
      <c r="X6" s="93" t="s">
        <v>59</v>
      </c>
      <c r="Y6" s="96">
        <f>SUM(Tabla40[[#This Row],[2002]:[2022]])</f>
        <v>1427</v>
      </c>
    </row>
    <row r="7" spans="2:25" ht="60" x14ac:dyDescent="0.25">
      <c r="B7" s="91" t="s">
        <v>6</v>
      </c>
      <c r="C7" s="93">
        <v>61</v>
      </c>
      <c r="D7" s="93">
        <v>74</v>
      </c>
      <c r="E7" s="93">
        <v>37</v>
      </c>
      <c r="F7" s="93">
        <v>19</v>
      </c>
      <c r="G7" s="93">
        <v>35</v>
      </c>
      <c r="H7" s="93">
        <v>59</v>
      </c>
      <c r="I7" s="93">
        <v>7</v>
      </c>
      <c r="J7" s="93">
        <v>74</v>
      </c>
      <c r="K7" s="93">
        <v>45</v>
      </c>
      <c r="L7" s="93">
        <v>70</v>
      </c>
      <c r="M7" s="93">
        <v>71</v>
      </c>
      <c r="N7" s="93">
        <v>33</v>
      </c>
      <c r="O7" s="93">
        <v>31</v>
      </c>
      <c r="P7" s="93">
        <v>37</v>
      </c>
      <c r="Q7" s="93">
        <v>35</v>
      </c>
      <c r="R7" s="93" t="s">
        <v>59</v>
      </c>
      <c r="S7" s="93">
        <v>1</v>
      </c>
      <c r="T7" s="93">
        <v>3</v>
      </c>
      <c r="U7" s="93">
        <v>5</v>
      </c>
      <c r="V7" s="93">
        <v>1</v>
      </c>
      <c r="W7" s="93" t="s">
        <v>59</v>
      </c>
      <c r="X7" s="93" t="s">
        <v>59</v>
      </c>
      <c r="Y7" s="96">
        <f>SUM(Tabla40[[#This Row],[2002]:[2022]])</f>
        <v>698</v>
      </c>
    </row>
    <row r="8" spans="2:25" ht="60" x14ac:dyDescent="0.25">
      <c r="B8" s="91" t="s">
        <v>13</v>
      </c>
      <c r="C8" s="93">
        <v>4</v>
      </c>
      <c r="D8" s="93">
        <v>13</v>
      </c>
      <c r="E8" s="93">
        <v>1</v>
      </c>
      <c r="F8" s="93">
        <v>19</v>
      </c>
      <c r="G8" s="93">
        <v>32</v>
      </c>
      <c r="H8" s="93">
        <v>68</v>
      </c>
      <c r="I8" s="93">
        <v>70</v>
      </c>
      <c r="J8" s="93">
        <v>33</v>
      </c>
      <c r="K8" s="93">
        <v>64</v>
      </c>
      <c r="L8" s="93">
        <v>57</v>
      </c>
      <c r="M8" s="93" t="s">
        <v>59</v>
      </c>
      <c r="N8" s="93">
        <v>3</v>
      </c>
      <c r="O8" s="93">
        <v>2</v>
      </c>
      <c r="P8" s="93">
        <v>6</v>
      </c>
      <c r="Q8" s="93">
        <v>6</v>
      </c>
      <c r="R8" s="93" t="s">
        <v>59</v>
      </c>
      <c r="S8" s="93" t="s">
        <v>59</v>
      </c>
      <c r="T8" s="93">
        <v>7</v>
      </c>
      <c r="U8" s="93">
        <v>8</v>
      </c>
      <c r="V8" s="93">
        <v>5</v>
      </c>
      <c r="W8" s="93" t="s">
        <v>59</v>
      </c>
      <c r="X8" s="93" t="s">
        <v>59</v>
      </c>
      <c r="Y8" s="96">
        <f>SUM(Tabla40[[#This Row],[2002]:[2022]])</f>
        <v>398</v>
      </c>
    </row>
    <row r="9" spans="2:25" ht="45" x14ac:dyDescent="0.25">
      <c r="B9" s="91" t="s">
        <v>5</v>
      </c>
      <c r="C9" s="93">
        <v>10</v>
      </c>
      <c r="D9" s="93">
        <v>109</v>
      </c>
      <c r="E9" s="93">
        <v>15</v>
      </c>
      <c r="F9" s="93">
        <v>10</v>
      </c>
      <c r="G9" s="93">
        <v>24</v>
      </c>
      <c r="H9" s="93">
        <v>33</v>
      </c>
      <c r="I9" s="93">
        <v>16</v>
      </c>
      <c r="J9" s="93">
        <v>17</v>
      </c>
      <c r="K9" s="93">
        <v>12</v>
      </c>
      <c r="L9" s="93">
        <v>5</v>
      </c>
      <c r="M9" s="93" t="s">
        <v>59</v>
      </c>
      <c r="N9" s="93" t="s">
        <v>59</v>
      </c>
      <c r="O9" s="93" t="s">
        <v>59</v>
      </c>
      <c r="P9" s="93" t="s">
        <v>59</v>
      </c>
      <c r="Q9" s="93">
        <v>3</v>
      </c>
      <c r="R9" s="93" t="s">
        <v>59</v>
      </c>
      <c r="S9" s="93">
        <v>1</v>
      </c>
      <c r="T9" s="93" t="s">
        <v>59</v>
      </c>
      <c r="U9" s="93">
        <v>2</v>
      </c>
      <c r="V9" s="93" t="s">
        <v>59</v>
      </c>
      <c r="W9" s="93" t="s">
        <v>59</v>
      </c>
      <c r="X9" s="93" t="s">
        <v>59</v>
      </c>
      <c r="Y9" s="96">
        <f>SUM(Tabla40[[#This Row],[2002]:[2022]])</f>
        <v>257</v>
      </c>
    </row>
    <row r="10" spans="2:25" ht="90" x14ac:dyDescent="0.25">
      <c r="B10" s="91" t="s">
        <v>10</v>
      </c>
      <c r="C10" s="93">
        <v>44</v>
      </c>
      <c r="D10" s="93">
        <v>41</v>
      </c>
      <c r="E10" s="93">
        <v>23</v>
      </c>
      <c r="F10" s="93">
        <v>5</v>
      </c>
      <c r="G10" s="93">
        <v>11</v>
      </c>
      <c r="H10" s="93">
        <v>5</v>
      </c>
      <c r="I10" s="93" t="s">
        <v>59</v>
      </c>
      <c r="J10" s="93">
        <v>12</v>
      </c>
      <c r="K10" s="93">
        <v>11</v>
      </c>
      <c r="L10" s="93">
        <v>1</v>
      </c>
      <c r="M10" s="93">
        <v>23</v>
      </c>
      <c r="N10" s="93">
        <v>3</v>
      </c>
      <c r="O10" s="93">
        <v>15</v>
      </c>
      <c r="P10" s="93">
        <v>1</v>
      </c>
      <c r="Q10" s="93">
        <v>20</v>
      </c>
      <c r="R10" s="93">
        <v>5</v>
      </c>
      <c r="S10" s="93">
        <v>1</v>
      </c>
      <c r="T10" s="93">
        <v>1</v>
      </c>
      <c r="U10" s="93">
        <v>1</v>
      </c>
      <c r="V10" s="93" t="s">
        <v>59</v>
      </c>
      <c r="W10" s="93" t="s">
        <v>59</v>
      </c>
      <c r="X10" s="93" t="s">
        <v>59</v>
      </c>
      <c r="Y10" s="96">
        <f>SUM(Tabla40[[#This Row],[2002]:[2022]])</f>
        <v>223</v>
      </c>
    </row>
    <row r="11" spans="2:25" ht="30" x14ac:dyDescent="0.25">
      <c r="B11" s="91" t="s">
        <v>9</v>
      </c>
      <c r="C11" s="93">
        <v>12</v>
      </c>
      <c r="D11" s="93">
        <v>12</v>
      </c>
      <c r="E11" s="93">
        <v>10</v>
      </c>
      <c r="F11" s="93">
        <v>8</v>
      </c>
      <c r="G11" s="93">
        <v>39</v>
      </c>
      <c r="H11" s="93">
        <v>17</v>
      </c>
      <c r="I11" s="93">
        <v>20</v>
      </c>
      <c r="J11" s="93">
        <v>22</v>
      </c>
      <c r="K11" s="93">
        <v>45</v>
      </c>
      <c r="L11" s="93">
        <v>20</v>
      </c>
      <c r="M11" s="93">
        <v>1</v>
      </c>
      <c r="N11" s="93">
        <v>2</v>
      </c>
      <c r="O11" s="93">
        <v>6</v>
      </c>
      <c r="P11" s="93" t="s">
        <v>59</v>
      </c>
      <c r="Q11" s="93">
        <v>2</v>
      </c>
      <c r="R11" s="93" t="s">
        <v>59</v>
      </c>
      <c r="S11" s="93" t="s">
        <v>59</v>
      </c>
      <c r="T11" s="93" t="s">
        <v>59</v>
      </c>
      <c r="U11" s="93" t="s">
        <v>59</v>
      </c>
      <c r="V11" s="93" t="s">
        <v>59</v>
      </c>
      <c r="W11" s="93" t="s">
        <v>59</v>
      </c>
      <c r="X11" s="93" t="s">
        <v>59</v>
      </c>
      <c r="Y11" s="96">
        <f>SUM(Tabla40[[#This Row],[2002]:[2022]])</f>
        <v>216</v>
      </c>
    </row>
    <row r="12" spans="2:25" ht="90" x14ac:dyDescent="0.25">
      <c r="B12" s="91" t="s">
        <v>12</v>
      </c>
      <c r="C12" s="93">
        <v>12</v>
      </c>
      <c r="D12" s="93">
        <v>6</v>
      </c>
      <c r="E12" s="93">
        <v>2</v>
      </c>
      <c r="F12" s="93">
        <v>3</v>
      </c>
      <c r="G12" s="93">
        <v>6</v>
      </c>
      <c r="H12" s="93">
        <v>9</v>
      </c>
      <c r="I12" s="93">
        <v>2</v>
      </c>
      <c r="J12" s="93">
        <v>11</v>
      </c>
      <c r="K12" s="93">
        <v>11</v>
      </c>
      <c r="L12" s="93">
        <v>9</v>
      </c>
      <c r="M12" s="93">
        <v>8</v>
      </c>
      <c r="N12" s="93">
        <v>24</v>
      </c>
      <c r="O12" s="93">
        <v>7</v>
      </c>
      <c r="P12" s="93">
        <v>11</v>
      </c>
      <c r="Q12" s="93">
        <v>55</v>
      </c>
      <c r="R12" s="93">
        <v>13</v>
      </c>
      <c r="S12" s="93" t="s">
        <v>59</v>
      </c>
      <c r="T12" s="93" t="s">
        <v>59</v>
      </c>
      <c r="U12" s="93" t="s">
        <v>59</v>
      </c>
      <c r="V12" s="93" t="s">
        <v>59</v>
      </c>
      <c r="W12" s="93" t="s">
        <v>59</v>
      </c>
      <c r="X12" s="93" t="s">
        <v>59</v>
      </c>
      <c r="Y12" s="96">
        <f>SUM(Tabla40[[#This Row],[2002]:[2022]])</f>
        <v>189</v>
      </c>
    </row>
    <row r="13" spans="2:25" ht="105" x14ac:dyDescent="0.25">
      <c r="B13" s="91" t="s">
        <v>8</v>
      </c>
      <c r="C13" s="93">
        <v>1</v>
      </c>
      <c r="D13" s="93">
        <v>15</v>
      </c>
      <c r="E13" s="93">
        <v>15</v>
      </c>
      <c r="F13" s="93">
        <v>9</v>
      </c>
      <c r="G13" s="93">
        <v>10</v>
      </c>
      <c r="H13" s="93">
        <v>7</v>
      </c>
      <c r="I13" s="93">
        <v>1</v>
      </c>
      <c r="J13" s="93">
        <v>5</v>
      </c>
      <c r="K13" s="93">
        <v>8</v>
      </c>
      <c r="L13" s="93">
        <v>2</v>
      </c>
      <c r="M13" s="93">
        <v>15</v>
      </c>
      <c r="N13" s="93">
        <v>32</v>
      </c>
      <c r="O13" s="93">
        <v>50</v>
      </c>
      <c r="P13" s="93" t="s">
        <v>59</v>
      </c>
      <c r="Q13" s="93" t="s">
        <v>59</v>
      </c>
      <c r="R13" s="93" t="s">
        <v>59</v>
      </c>
      <c r="S13" s="93">
        <v>3</v>
      </c>
      <c r="T13" s="93">
        <v>7</v>
      </c>
      <c r="U13" s="93">
        <v>4</v>
      </c>
      <c r="V13" s="93">
        <v>4</v>
      </c>
      <c r="W13" s="93">
        <v>1</v>
      </c>
      <c r="X13" s="93" t="s">
        <v>59</v>
      </c>
      <c r="Y13" s="96">
        <f>SUM(Tabla40[[#This Row],[2002]:[2022]])</f>
        <v>189</v>
      </c>
    </row>
    <row r="14" spans="2:25" x14ac:dyDescent="0.25">
      <c r="B14" s="91" t="s">
        <v>22</v>
      </c>
      <c r="C14" s="93">
        <v>18</v>
      </c>
      <c r="D14" s="93">
        <v>5</v>
      </c>
      <c r="E14" s="93">
        <v>2</v>
      </c>
      <c r="F14" s="93" t="s">
        <v>59</v>
      </c>
      <c r="G14" s="93">
        <v>3</v>
      </c>
      <c r="H14" s="93" t="s">
        <v>59</v>
      </c>
      <c r="I14" s="93" t="s">
        <v>59</v>
      </c>
      <c r="J14" s="93">
        <v>11</v>
      </c>
      <c r="K14" s="93">
        <v>31</v>
      </c>
      <c r="L14" s="93">
        <v>35</v>
      </c>
      <c r="M14" s="93">
        <v>20</v>
      </c>
      <c r="N14" s="93">
        <v>3</v>
      </c>
      <c r="O14" s="93">
        <v>10</v>
      </c>
      <c r="P14" s="93" t="s">
        <v>59</v>
      </c>
      <c r="Q14" s="93" t="s">
        <v>59</v>
      </c>
      <c r="R14" s="93" t="s">
        <v>59</v>
      </c>
      <c r="S14" s="93" t="s">
        <v>59</v>
      </c>
      <c r="T14" s="93">
        <v>1</v>
      </c>
      <c r="U14" s="93">
        <v>7</v>
      </c>
      <c r="V14" s="93">
        <v>16</v>
      </c>
      <c r="W14" s="93">
        <v>7</v>
      </c>
      <c r="X14" s="93" t="s">
        <v>59</v>
      </c>
      <c r="Y14" s="96">
        <f>SUM(Tabla40[[#This Row],[2002]:[2022]])</f>
        <v>169</v>
      </c>
    </row>
    <row r="15" spans="2:25" x14ac:dyDescent="0.25">
      <c r="B15" s="91" t="s">
        <v>11</v>
      </c>
      <c r="C15" s="93">
        <v>3</v>
      </c>
      <c r="D15" s="93">
        <v>4</v>
      </c>
      <c r="E15" s="93">
        <v>5</v>
      </c>
      <c r="F15" s="93">
        <v>9</v>
      </c>
      <c r="G15" s="93">
        <v>18</v>
      </c>
      <c r="H15" s="93">
        <v>4</v>
      </c>
      <c r="I15" s="93">
        <v>7</v>
      </c>
      <c r="J15" s="93">
        <v>12</v>
      </c>
      <c r="K15" s="93">
        <v>34</v>
      </c>
      <c r="L15" s="93">
        <v>29</v>
      </c>
      <c r="M15" s="93">
        <v>1</v>
      </c>
      <c r="N15" s="93">
        <v>12</v>
      </c>
      <c r="O15" s="93" t="s">
        <v>59</v>
      </c>
      <c r="P15" s="93">
        <v>4</v>
      </c>
      <c r="Q15" s="93" t="s">
        <v>59</v>
      </c>
      <c r="R15" s="93" t="s">
        <v>59</v>
      </c>
      <c r="S15" s="93" t="s">
        <v>59</v>
      </c>
      <c r="T15" s="93">
        <v>1</v>
      </c>
      <c r="U15" s="93">
        <v>8</v>
      </c>
      <c r="V15" s="93">
        <v>2</v>
      </c>
      <c r="W15" s="93" t="s">
        <v>59</v>
      </c>
      <c r="X15" s="93" t="s">
        <v>59</v>
      </c>
      <c r="Y15" s="96">
        <f>SUM(Tabla40[[#This Row],[2002]:[2022]])</f>
        <v>153</v>
      </c>
    </row>
    <row r="16" spans="2:25" x14ac:dyDescent="0.25">
      <c r="B16" s="91" t="s">
        <v>14</v>
      </c>
      <c r="C16" s="93">
        <v>1</v>
      </c>
      <c r="D16" s="93">
        <v>2</v>
      </c>
      <c r="E16" s="93" t="s">
        <v>59</v>
      </c>
      <c r="F16" s="93">
        <v>1</v>
      </c>
      <c r="G16" s="93">
        <v>3</v>
      </c>
      <c r="H16" s="93">
        <v>19</v>
      </c>
      <c r="I16" s="93">
        <v>3</v>
      </c>
      <c r="J16" s="93">
        <v>10</v>
      </c>
      <c r="K16" s="93">
        <v>7</v>
      </c>
      <c r="L16" s="93" t="s">
        <v>59</v>
      </c>
      <c r="M16" s="93">
        <v>2</v>
      </c>
      <c r="N16" s="93">
        <v>2</v>
      </c>
      <c r="O16" s="93">
        <v>13</v>
      </c>
      <c r="P16" s="93">
        <v>16</v>
      </c>
      <c r="Q16" s="93">
        <v>30</v>
      </c>
      <c r="R16" s="93">
        <v>13</v>
      </c>
      <c r="S16" s="93" t="s">
        <v>59</v>
      </c>
      <c r="T16" s="93">
        <v>9</v>
      </c>
      <c r="U16" s="93">
        <v>2</v>
      </c>
      <c r="V16" s="93" t="s">
        <v>59</v>
      </c>
      <c r="W16" s="93" t="s">
        <v>59</v>
      </c>
      <c r="X16" s="93" t="s">
        <v>59</v>
      </c>
      <c r="Y16" s="96">
        <f>SUM(Tabla40[[#This Row],[2002]:[2022]])</f>
        <v>133</v>
      </c>
    </row>
    <row r="17" spans="2:25" x14ac:dyDescent="0.25">
      <c r="B17" s="91" t="s">
        <v>15</v>
      </c>
      <c r="C17" s="93">
        <v>52</v>
      </c>
      <c r="D17" s="93">
        <v>4</v>
      </c>
      <c r="E17" s="93">
        <v>2</v>
      </c>
      <c r="F17" s="93">
        <v>7</v>
      </c>
      <c r="G17" s="93">
        <v>1</v>
      </c>
      <c r="H17" s="93">
        <v>7</v>
      </c>
      <c r="I17" s="93">
        <v>1</v>
      </c>
      <c r="J17" s="93">
        <v>10</v>
      </c>
      <c r="K17" s="93">
        <v>14</v>
      </c>
      <c r="L17" s="93">
        <v>1</v>
      </c>
      <c r="M17" s="93" t="s">
        <v>59</v>
      </c>
      <c r="N17" s="93">
        <v>1</v>
      </c>
      <c r="O17" s="93" t="s">
        <v>59</v>
      </c>
      <c r="P17" s="93" t="s">
        <v>59</v>
      </c>
      <c r="Q17" s="93" t="s">
        <v>59</v>
      </c>
      <c r="R17" s="93" t="s">
        <v>59</v>
      </c>
      <c r="S17" s="93" t="s">
        <v>59</v>
      </c>
      <c r="T17" s="93">
        <v>5</v>
      </c>
      <c r="U17" s="93">
        <v>8</v>
      </c>
      <c r="V17" s="93" t="s">
        <v>59</v>
      </c>
      <c r="W17" s="93" t="s">
        <v>59</v>
      </c>
      <c r="X17" s="93" t="s">
        <v>59</v>
      </c>
      <c r="Y17" s="96">
        <f>SUM(Tabla40[[#This Row],[2002]:[2022]])</f>
        <v>113</v>
      </c>
    </row>
    <row r="18" spans="2:25" ht="30" x14ac:dyDescent="0.25">
      <c r="B18" s="91" t="s">
        <v>26</v>
      </c>
      <c r="C18" s="93" t="s">
        <v>59</v>
      </c>
      <c r="D18" s="93">
        <v>30</v>
      </c>
      <c r="E18" s="93">
        <v>6</v>
      </c>
      <c r="F18" s="93">
        <v>3</v>
      </c>
      <c r="G18" s="93">
        <v>6</v>
      </c>
      <c r="H18" s="93">
        <v>5</v>
      </c>
      <c r="I18" s="93">
        <v>3</v>
      </c>
      <c r="J18" s="93">
        <v>6</v>
      </c>
      <c r="K18" s="93">
        <v>7</v>
      </c>
      <c r="L18" s="93">
        <v>8</v>
      </c>
      <c r="M18" s="93" t="s">
        <v>59</v>
      </c>
      <c r="N18" s="93" t="s">
        <v>59</v>
      </c>
      <c r="O18" s="93">
        <v>7</v>
      </c>
      <c r="P18" s="93">
        <v>5</v>
      </c>
      <c r="Q18" s="93">
        <v>8</v>
      </c>
      <c r="R18" s="93">
        <v>2</v>
      </c>
      <c r="S18" s="93" t="s">
        <v>59</v>
      </c>
      <c r="T18" s="93" t="s">
        <v>59</v>
      </c>
      <c r="U18" s="93" t="s">
        <v>59</v>
      </c>
      <c r="V18" s="93" t="s">
        <v>59</v>
      </c>
      <c r="W18" s="93" t="s">
        <v>59</v>
      </c>
      <c r="X18" s="93" t="s">
        <v>59</v>
      </c>
      <c r="Y18" s="96">
        <f>SUM(Tabla40[[#This Row],[2002]:[2022]])</f>
        <v>96</v>
      </c>
    </row>
    <row r="19" spans="2:25" ht="90" x14ac:dyDescent="0.25">
      <c r="B19" s="91" t="s">
        <v>19</v>
      </c>
      <c r="C19" s="93">
        <v>6</v>
      </c>
      <c r="D19" s="93">
        <v>6</v>
      </c>
      <c r="E19" s="93" t="s">
        <v>59</v>
      </c>
      <c r="F19" s="93" t="s">
        <v>59</v>
      </c>
      <c r="G19" s="93">
        <v>5</v>
      </c>
      <c r="H19" s="93">
        <v>2</v>
      </c>
      <c r="I19" s="93">
        <v>5</v>
      </c>
      <c r="J19" s="93">
        <v>8</v>
      </c>
      <c r="K19" s="93">
        <v>10</v>
      </c>
      <c r="L19" s="93">
        <v>11</v>
      </c>
      <c r="M19" s="93">
        <v>9</v>
      </c>
      <c r="N19" s="93">
        <v>2</v>
      </c>
      <c r="O19" s="93" t="s">
        <v>59</v>
      </c>
      <c r="P19" s="93" t="s">
        <v>59</v>
      </c>
      <c r="Q19" s="93" t="s">
        <v>59</v>
      </c>
      <c r="R19" s="93" t="s">
        <v>59</v>
      </c>
      <c r="S19" s="93" t="s">
        <v>59</v>
      </c>
      <c r="T19" s="93" t="s">
        <v>59</v>
      </c>
      <c r="U19" s="93" t="s">
        <v>59</v>
      </c>
      <c r="V19" s="93" t="s">
        <v>59</v>
      </c>
      <c r="W19" s="93">
        <v>2</v>
      </c>
      <c r="X19" s="93" t="s">
        <v>59</v>
      </c>
      <c r="Y19" s="96">
        <f>SUM(Tabla40[[#This Row],[2002]:[2022]])</f>
        <v>66</v>
      </c>
    </row>
    <row r="20" spans="2:25" x14ac:dyDescent="0.25">
      <c r="B20" s="91" t="s">
        <v>16</v>
      </c>
      <c r="C20" s="93">
        <v>8</v>
      </c>
      <c r="D20" s="93">
        <v>9</v>
      </c>
      <c r="E20" s="93">
        <v>7</v>
      </c>
      <c r="F20" s="93">
        <v>4</v>
      </c>
      <c r="G20" s="93">
        <v>10</v>
      </c>
      <c r="H20" s="93">
        <v>3</v>
      </c>
      <c r="I20" s="93" t="s">
        <v>59</v>
      </c>
      <c r="J20" s="93" t="s">
        <v>59</v>
      </c>
      <c r="K20" s="93">
        <v>2</v>
      </c>
      <c r="L20" s="93" t="s">
        <v>59</v>
      </c>
      <c r="M20" s="93" t="s">
        <v>59</v>
      </c>
      <c r="N20" s="93" t="s">
        <v>59</v>
      </c>
      <c r="O20" s="93" t="s">
        <v>59</v>
      </c>
      <c r="P20" s="93">
        <v>5</v>
      </c>
      <c r="Q20" s="93">
        <v>1</v>
      </c>
      <c r="R20" s="93">
        <v>4</v>
      </c>
      <c r="S20" s="93" t="s">
        <v>59</v>
      </c>
      <c r="T20" s="93" t="s">
        <v>59</v>
      </c>
      <c r="U20" s="93">
        <v>1</v>
      </c>
      <c r="V20" s="93" t="s">
        <v>59</v>
      </c>
      <c r="W20" s="93" t="s">
        <v>59</v>
      </c>
      <c r="X20" s="93" t="s">
        <v>59</v>
      </c>
      <c r="Y20" s="96">
        <f>SUM(Tabla40[[#This Row],[2002]:[2022]])</f>
        <v>54</v>
      </c>
    </row>
    <row r="21" spans="2:25" x14ac:dyDescent="0.25">
      <c r="B21" s="91" t="s">
        <v>18</v>
      </c>
      <c r="C21" s="93">
        <v>1</v>
      </c>
      <c r="D21" s="93" t="s">
        <v>59</v>
      </c>
      <c r="E21" s="93" t="s">
        <v>59</v>
      </c>
      <c r="F21" s="93">
        <v>3</v>
      </c>
      <c r="G21" s="93">
        <v>5</v>
      </c>
      <c r="H21" s="93">
        <v>2</v>
      </c>
      <c r="I21" s="93">
        <v>3</v>
      </c>
      <c r="J21" s="93">
        <v>5</v>
      </c>
      <c r="K21" s="93">
        <v>20</v>
      </c>
      <c r="L21" s="93">
        <v>10</v>
      </c>
      <c r="M21" s="93" t="s">
        <v>59</v>
      </c>
      <c r="N21" s="93" t="s">
        <v>59</v>
      </c>
      <c r="O21" s="93" t="s">
        <v>59</v>
      </c>
      <c r="P21" s="93" t="s">
        <v>59</v>
      </c>
      <c r="Q21" s="93">
        <v>2</v>
      </c>
      <c r="R21" s="93" t="s">
        <v>59</v>
      </c>
      <c r="S21" s="93" t="s">
        <v>59</v>
      </c>
      <c r="T21" s="93" t="s">
        <v>59</v>
      </c>
      <c r="U21" s="93" t="s">
        <v>59</v>
      </c>
      <c r="V21" s="93" t="s">
        <v>59</v>
      </c>
      <c r="W21" s="93" t="s">
        <v>59</v>
      </c>
      <c r="X21" s="93" t="s">
        <v>59</v>
      </c>
      <c r="Y21" s="96">
        <f>SUM(Tabla40[[#This Row],[2002]:[2022]])</f>
        <v>51</v>
      </c>
    </row>
    <row r="22" spans="2:25" ht="30" x14ac:dyDescent="0.25">
      <c r="B22" s="91" t="s">
        <v>20</v>
      </c>
      <c r="C22" s="93" t="s">
        <v>59</v>
      </c>
      <c r="D22" s="93">
        <v>2</v>
      </c>
      <c r="E22" s="93" t="s">
        <v>59</v>
      </c>
      <c r="F22" s="93">
        <v>2</v>
      </c>
      <c r="G22" s="93">
        <v>2</v>
      </c>
      <c r="H22" s="93">
        <v>3</v>
      </c>
      <c r="I22" s="93" t="s">
        <v>59</v>
      </c>
      <c r="J22" s="93">
        <v>9</v>
      </c>
      <c r="K22" s="93">
        <v>4</v>
      </c>
      <c r="L22" s="93">
        <v>15</v>
      </c>
      <c r="M22" s="93" t="s">
        <v>59</v>
      </c>
      <c r="N22" s="93">
        <v>6</v>
      </c>
      <c r="O22" s="93" t="s">
        <v>59</v>
      </c>
      <c r="P22" s="93">
        <v>4</v>
      </c>
      <c r="Q22" s="93" t="s">
        <v>59</v>
      </c>
      <c r="R22" s="93" t="s">
        <v>59</v>
      </c>
      <c r="S22" s="93" t="s">
        <v>59</v>
      </c>
      <c r="T22" s="93" t="s">
        <v>59</v>
      </c>
      <c r="U22" s="93" t="s">
        <v>59</v>
      </c>
      <c r="V22" s="93" t="s">
        <v>59</v>
      </c>
      <c r="W22" s="93" t="s">
        <v>59</v>
      </c>
      <c r="X22" s="93" t="s">
        <v>59</v>
      </c>
      <c r="Y22" s="96">
        <f>SUM(Tabla40[[#This Row],[2002]:[2022]])</f>
        <v>47</v>
      </c>
    </row>
    <row r="23" spans="2:25" ht="90" x14ac:dyDescent="0.25">
      <c r="B23" s="91" t="s">
        <v>21</v>
      </c>
      <c r="C23" s="93" t="s">
        <v>59</v>
      </c>
      <c r="D23" s="93" t="s">
        <v>59</v>
      </c>
      <c r="E23" s="93">
        <v>2</v>
      </c>
      <c r="F23" s="93" t="s">
        <v>59</v>
      </c>
      <c r="G23" s="93">
        <v>15</v>
      </c>
      <c r="H23" s="93">
        <v>1</v>
      </c>
      <c r="I23" s="93">
        <v>3</v>
      </c>
      <c r="J23" s="93">
        <v>2</v>
      </c>
      <c r="K23" s="93">
        <v>9</v>
      </c>
      <c r="L23" s="93">
        <v>6</v>
      </c>
      <c r="M23" s="93" t="s">
        <v>59</v>
      </c>
      <c r="N23" s="93" t="s">
        <v>59</v>
      </c>
      <c r="O23" s="93" t="s">
        <v>59</v>
      </c>
      <c r="P23" s="93" t="s">
        <v>59</v>
      </c>
      <c r="Q23" s="93">
        <v>4</v>
      </c>
      <c r="R23" s="93">
        <v>1</v>
      </c>
      <c r="S23" s="93" t="s">
        <v>59</v>
      </c>
      <c r="T23" s="93" t="s">
        <v>59</v>
      </c>
      <c r="U23" s="93" t="s">
        <v>59</v>
      </c>
      <c r="V23" s="93" t="s">
        <v>59</v>
      </c>
      <c r="W23" s="93" t="s">
        <v>59</v>
      </c>
      <c r="X23" s="93" t="s">
        <v>59</v>
      </c>
      <c r="Y23" s="96">
        <f>SUM(Tabla40[[#This Row],[2002]:[2022]])</f>
        <v>43</v>
      </c>
    </row>
    <row r="24" spans="2:25" x14ac:dyDescent="0.25">
      <c r="B24" s="91" t="s">
        <v>24</v>
      </c>
      <c r="C24" s="93" t="s">
        <v>59</v>
      </c>
      <c r="D24" s="93">
        <v>4</v>
      </c>
      <c r="E24" s="93" t="s">
        <v>59</v>
      </c>
      <c r="F24" s="93" t="s">
        <v>59</v>
      </c>
      <c r="G24" s="93">
        <v>3</v>
      </c>
      <c r="H24" s="93">
        <v>10</v>
      </c>
      <c r="I24" s="93">
        <v>7</v>
      </c>
      <c r="J24" s="93">
        <v>2</v>
      </c>
      <c r="K24" s="93">
        <v>6</v>
      </c>
      <c r="L24" s="93">
        <v>3</v>
      </c>
      <c r="M24" s="93" t="s">
        <v>59</v>
      </c>
      <c r="N24" s="93" t="s">
        <v>59</v>
      </c>
      <c r="O24" s="93" t="s">
        <v>59</v>
      </c>
      <c r="P24" s="93" t="s">
        <v>59</v>
      </c>
      <c r="Q24" s="93" t="s">
        <v>59</v>
      </c>
      <c r="R24" s="93" t="s">
        <v>59</v>
      </c>
      <c r="S24" s="93" t="s">
        <v>59</v>
      </c>
      <c r="T24" s="93" t="s">
        <v>59</v>
      </c>
      <c r="U24" s="93" t="s">
        <v>59</v>
      </c>
      <c r="V24" s="93" t="s">
        <v>59</v>
      </c>
      <c r="W24" s="93" t="s">
        <v>59</v>
      </c>
      <c r="X24" s="93" t="s">
        <v>59</v>
      </c>
      <c r="Y24" s="96">
        <f>SUM(Tabla40[[#This Row],[2002]:[2022]])</f>
        <v>35</v>
      </c>
    </row>
    <row r="25" spans="2:25" ht="45" x14ac:dyDescent="0.25">
      <c r="B25" s="91" t="s">
        <v>17</v>
      </c>
      <c r="C25" s="93">
        <v>1</v>
      </c>
      <c r="D25" s="93">
        <v>3</v>
      </c>
      <c r="E25" s="93" t="s">
        <v>59</v>
      </c>
      <c r="F25" s="93">
        <v>3</v>
      </c>
      <c r="G25" s="93">
        <v>1</v>
      </c>
      <c r="H25" s="93">
        <v>1</v>
      </c>
      <c r="I25" s="93">
        <v>1</v>
      </c>
      <c r="J25" s="93">
        <v>9</v>
      </c>
      <c r="K25" s="93">
        <v>5</v>
      </c>
      <c r="L25" s="93" t="s">
        <v>59</v>
      </c>
      <c r="M25" s="93">
        <v>1</v>
      </c>
      <c r="N25" s="93" t="s">
        <v>59</v>
      </c>
      <c r="O25" s="93" t="s">
        <v>59</v>
      </c>
      <c r="P25" s="93" t="s">
        <v>59</v>
      </c>
      <c r="Q25" s="93">
        <v>3</v>
      </c>
      <c r="R25" s="93" t="s">
        <v>59</v>
      </c>
      <c r="S25" s="93" t="s">
        <v>59</v>
      </c>
      <c r="T25" s="93" t="s">
        <v>59</v>
      </c>
      <c r="U25" s="93" t="s">
        <v>59</v>
      </c>
      <c r="V25" s="93" t="s">
        <v>59</v>
      </c>
      <c r="W25" s="93" t="s">
        <v>59</v>
      </c>
      <c r="X25" s="93" t="s">
        <v>59</v>
      </c>
      <c r="Y25" s="96">
        <f>SUM(Tabla40[[#This Row],[2002]:[2022]])</f>
        <v>28</v>
      </c>
    </row>
    <row r="26" spans="2:25" ht="45" x14ac:dyDescent="0.25">
      <c r="B26" s="91" t="s">
        <v>31</v>
      </c>
      <c r="C26" s="93" t="s">
        <v>59</v>
      </c>
      <c r="D26" s="93">
        <v>1</v>
      </c>
      <c r="E26" s="93">
        <v>2</v>
      </c>
      <c r="F26" s="93" t="s">
        <v>59</v>
      </c>
      <c r="G26" s="93">
        <v>3</v>
      </c>
      <c r="H26" s="93">
        <v>11</v>
      </c>
      <c r="I26" s="93">
        <v>7</v>
      </c>
      <c r="J26" s="93">
        <v>2</v>
      </c>
      <c r="K26" s="93" t="s">
        <v>59</v>
      </c>
      <c r="L26" s="93" t="s">
        <v>59</v>
      </c>
      <c r="M26" s="93" t="s">
        <v>59</v>
      </c>
      <c r="N26" s="93" t="s">
        <v>59</v>
      </c>
      <c r="O26" s="93" t="s">
        <v>59</v>
      </c>
      <c r="P26" s="93" t="s">
        <v>59</v>
      </c>
      <c r="Q26" s="93" t="s">
        <v>59</v>
      </c>
      <c r="R26" s="93" t="s">
        <v>59</v>
      </c>
      <c r="S26" s="93" t="s">
        <v>59</v>
      </c>
      <c r="T26" s="93" t="s">
        <v>59</v>
      </c>
      <c r="U26" s="93" t="s">
        <v>59</v>
      </c>
      <c r="V26" s="93" t="s">
        <v>59</v>
      </c>
      <c r="W26" s="93" t="s">
        <v>59</v>
      </c>
      <c r="X26" s="93" t="s">
        <v>59</v>
      </c>
      <c r="Y26" s="96">
        <f>SUM(Tabla40[[#This Row],[2002]:[2022]])</f>
        <v>26</v>
      </c>
    </row>
    <row r="27" spans="2:25" ht="30" x14ac:dyDescent="0.25">
      <c r="B27" s="91" t="s">
        <v>23</v>
      </c>
      <c r="C27" s="93" t="s">
        <v>59</v>
      </c>
      <c r="D27" s="93">
        <v>1</v>
      </c>
      <c r="E27" s="93">
        <v>3</v>
      </c>
      <c r="F27" s="93" t="s">
        <v>59</v>
      </c>
      <c r="G27" s="93" t="s">
        <v>59</v>
      </c>
      <c r="H27" s="93" t="s">
        <v>59</v>
      </c>
      <c r="I27" s="93">
        <v>1</v>
      </c>
      <c r="J27" s="93">
        <v>5</v>
      </c>
      <c r="K27" s="93">
        <v>3</v>
      </c>
      <c r="L27" s="93">
        <v>3</v>
      </c>
      <c r="M27" s="93">
        <v>4</v>
      </c>
      <c r="N27" s="93" t="s">
        <v>59</v>
      </c>
      <c r="O27" s="93" t="s">
        <v>59</v>
      </c>
      <c r="P27" s="93" t="s">
        <v>59</v>
      </c>
      <c r="Q27" s="93" t="s">
        <v>59</v>
      </c>
      <c r="R27" s="93" t="s">
        <v>59</v>
      </c>
      <c r="S27" s="93" t="s">
        <v>59</v>
      </c>
      <c r="T27" s="93">
        <v>1</v>
      </c>
      <c r="U27" s="93">
        <v>2</v>
      </c>
      <c r="V27" s="93" t="s">
        <v>59</v>
      </c>
      <c r="W27" s="93" t="s">
        <v>59</v>
      </c>
      <c r="X27" s="93" t="s">
        <v>59</v>
      </c>
      <c r="Y27" s="96">
        <f>SUM(Tabla40[[#This Row],[2002]:[2022]])</f>
        <v>23</v>
      </c>
    </row>
    <row r="28" spans="2:25" ht="60" x14ac:dyDescent="0.25">
      <c r="B28" s="91" t="s">
        <v>29</v>
      </c>
      <c r="C28" s="93" t="s">
        <v>59</v>
      </c>
      <c r="D28" s="93" t="s">
        <v>59</v>
      </c>
      <c r="E28" s="93">
        <v>6</v>
      </c>
      <c r="F28" s="93" t="s">
        <v>59</v>
      </c>
      <c r="G28" s="93">
        <v>4</v>
      </c>
      <c r="H28" s="93">
        <v>1</v>
      </c>
      <c r="I28" s="93">
        <v>1</v>
      </c>
      <c r="J28" s="93">
        <v>3</v>
      </c>
      <c r="K28" s="93" t="s">
        <v>59</v>
      </c>
      <c r="L28" s="93" t="s">
        <v>59</v>
      </c>
      <c r="M28" s="93">
        <v>1</v>
      </c>
      <c r="N28" s="93" t="s">
        <v>59</v>
      </c>
      <c r="O28" s="93" t="s">
        <v>59</v>
      </c>
      <c r="P28" s="93" t="s">
        <v>59</v>
      </c>
      <c r="Q28" s="93" t="s">
        <v>59</v>
      </c>
      <c r="R28" s="93" t="s">
        <v>59</v>
      </c>
      <c r="S28" s="93" t="s">
        <v>59</v>
      </c>
      <c r="T28" s="93" t="s">
        <v>59</v>
      </c>
      <c r="U28" s="93" t="s">
        <v>59</v>
      </c>
      <c r="V28" s="93" t="s">
        <v>59</v>
      </c>
      <c r="W28" s="93" t="s">
        <v>59</v>
      </c>
      <c r="X28" s="93" t="s">
        <v>59</v>
      </c>
      <c r="Y28" s="96">
        <f>SUM(Tabla40[[#This Row],[2002]:[2022]])</f>
        <v>16</v>
      </c>
    </row>
    <row r="29" spans="2:25" ht="60" x14ac:dyDescent="0.25">
      <c r="B29" s="91" t="s">
        <v>30</v>
      </c>
      <c r="C29" s="93" t="s">
        <v>59</v>
      </c>
      <c r="D29" s="93">
        <v>3</v>
      </c>
      <c r="E29" s="93" t="s">
        <v>59</v>
      </c>
      <c r="F29" s="93" t="s">
        <v>59</v>
      </c>
      <c r="G29" s="93">
        <v>5</v>
      </c>
      <c r="H29" s="93" t="s">
        <v>59</v>
      </c>
      <c r="I29" s="93">
        <v>2</v>
      </c>
      <c r="J29" s="93">
        <v>2</v>
      </c>
      <c r="K29" s="93" t="s">
        <v>59</v>
      </c>
      <c r="L29" s="93">
        <v>2</v>
      </c>
      <c r="M29" s="93" t="s">
        <v>59</v>
      </c>
      <c r="N29" s="93" t="s">
        <v>59</v>
      </c>
      <c r="O29" s="93" t="s">
        <v>59</v>
      </c>
      <c r="P29" s="93" t="s">
        <v>59</v>
      </c>
      <c r="Q29" s="93" t="s">
        <v>59</v>
      </c>
      <c r="R29" s="93" t="s">
        <v>59</v>
      </c>
      <c r="S29" s="93" t="s">
        <v>59</v>
      </c>
      <c r="T29" s="93" t="s">
        <v>59</v>
      </c>
      <c r="U29" s="93" t="s">
        <v>59</v>
      </c>
      <c r="V29" s="93" t="s">
        <v>59</v>
      </c>
      <c r="W29" s="93" t="s">
        <v>59</v>
      </c>
      <c r="X29" s="93" t="s">
        <v>59</v>
      </c>
      <c r="Y29" s="96">
        <f>SUM(Tabla40[[#This Row],[2002]:[2022]])</f>
        <v>14</v>
      </c>
    </row>
    <row r="30" spans="2:25" ht="45" x14ac:dyDescent="0.25">
      <c r="B30" s="91" t="s">
        <v>28</v>
      </c>
      <c r="C30" s="93" t="s">
        <v>59</v>
      </c>
      <c r="D30" s="93" t="s">
        <v>59</v>
      </c>
      <c r="E30" s="93" t="s">
        <v>59</v>
      </c>
      <c r="F30" s="93" t="s">
        <v>59</v>
      </c>
      <c r="G30" s="93">
        <v>8</v>
      </c>
      <c r="H30" s="93">
        <v>1</v>
      </c>
      <c r="I30" s="93" t="s">
        <v>59</v>
      </c>
      <c r="J30" s="93">
        <v>2</v>
      </c>
      <c r="K30" s="93" t="s">
        <v>59</v>
      </c>
      <c r="L30" s="93" t="s">
        <v>59</v>
      </c>
      <c r="M30" s="93" t="s">
        <v>59</v>
      </c>
      <c r="N30" s="93" t="s">
        <v>59</v>
      </c>
      <c r="O30" s="93" t="s">
        <v>59</v>
      </c>
      <c r="P30" s="93" t="s">
        <v>59</v>
      </c>
      <c r="Q30" s="93" t="s">
        <v>59</v>
      </c>
      <c r="R30" s="93" t="s">
        <v>59</v>
      </c>
      <c r="S30" s="93" t="s">
        <v>59</v>
      </c>
      <c r="T30" s="93" t="s">
        <v>59</v>
      </c>
      <c r="U30" s="93">
        <v>2</v>
      </c>
      <c r="V30" s="93" t="s">
        <v>59</v>
      </c>
      <c r="W30" s="93" t="s">
        <v>59</v>
      </c>
      <c r="X30" s="93" t="s">
        <v>59</v>
      </c>
      <c r="Y30" s="96">
        <f>SUM(Tabla40[[#This Row],[2002]:[2022]])</f>
        <v>13</v>
      </c>
    </row>
    <row r="31" spans="2:25" ht="30" x14ac:dyDescent="0.25">
      <c r="B31" s="91" t="s">
        <v>27</v>
      </c>
      <c r="C31" s="93" t="s">
        <v>59</v>
      </c>
      <c r="D31" s="93">
        <v>12</v>
      </c>
      <c r="E31" s="93" t="s">
        <v>59</v>
      </c>
      <c r="F31" s="93" t="s">
        <v>59</v>
      </c>
      <c r="G31" s="93" t="s">
        <v>59</v>
      </c>
      <c r="H31" s="93" t="s">
        <v>59</v>
      </c>
      <c r="I31" s="93" t="s">
        <v>59</v>
      </c>
      <c r="J31" s="93" t="s">
        <v>59</v>
      </c>
      <c r="K31" s="93" t="s">
        <v>59</v>
      </c>
      <c r="L31" s="93" t="s">
        <v>59</v>
      </c>
      <c r="M31" s="93" t="s">
        <v>59</v>
      </c>
      <c r="N31" s="93" t="s">
        <v>59</v>
      </c>
      <c r="O31" s="93" t="s">
        <v>59</v>
      </c>
      <c r="P31" s="93" t="s">
        <v>59</v>
      </c>
      <c r="Q31" s="93" t="s">
        <v>59</v>
      </c>
      <c r="R31" s="93" t="s">
        <v>59</v>
      </c>
      <c r="S31" s="93" t="s">
        <v>59</v>
      </c>
      <c r="T31" s="93" t="s">
        <v>59</v>
      </c>
      <c r="U31" s="93" t="s">
        <v>59</v>
      </c>
      <c r="V31" s="93" t="s">
        <v>59</v>
      </c>
      <c r="W31" s="93" t="s">
        <v>59</v>
      </c>
      <c r="X31" s="93" t="s">
        <v>59</v>
      </c>
      <c r="Y31" s="96">
        <f>SUM(Tabla40[[#This Row],[2002]:[2022]])</f>
        <v>12</v>
      </c>
    </row>
    <row r="32" spans="2:25" ht="120" x14ac:dyDescent="0.25">
      <c r="B32" s="91" t="s">
        <v>25</v>
      </c>
      <c r="C32" s="93" t="s">
        <v>59</v>
      </c>
      <c r="D32" s="93" t="s">
        <v>59</v>
      </c>
      <c r="E32" s="93" t="s">
        <v>59</v>
      </c>
      <c r="F32" s="93" t="s">
        <v>59</v>
      </c>
      <c r="G32" s="93">
        <v>5</v>
      </c>
      <c r="H32" s="93" t="s">
        <v>59</v>
      </c>
      <c r="I32" s="93" t="s">
        <v>59</v>
      </c>
      <c r="J32" s="93" t="s">
        <v>59</v>
      </c>
      <c r="K32" s="93" t="s">
        <v>59</v>
      </c>
      <c r="L32" s="93" t="s">
        <v>59</v>
      </c>
      <c r="M32" s="93" t="s">
        <v>59</v>
      </c>
      <c r="N32" s="93" t="s">
        <v>59</v>
      </c>
      <c r="O32" s="93" t="s">
        <v>59</v>
      </c>
      <c r="P32" s="93" t="s">
        <v>59</v>
      </c>
      <c r="Q32" s="93" t="s">
        <v>59</v>
      </c>
      <c r="R32" s="93" t="s">
        <v>59</v>
      </c>
      <c r="S32" s="93" t="s">
        <v>59</v>
      </c>
      <c r="T32" s="93" t="s">
        <v>59</v>
      </c>
      <c r="U32" s="93" t="s">
        <v>59</v>
      </c>
      <c r="V32" s="93" t="s">
        <v>59</v>
      </c>
      <c r="W32" s="113" t="s">
        <v>59</v>
      </c>
      <c r="X32" s="113" t="s">
        <v>59</v>
      </c>
      <c r="Y32" s="96">
        <f>SUM(Tabla40[[#This Row],[2002]:[2022]])</f>
        <v>5</v>
      </c>
    </row>
    <row r="33" spans="2:25" x14ac:dyDescent="0.25">
      <c r="B33" s="91" t="s">
        <v>35</v>
      </c>
      <c r="C33" s="105">
        <f>SUBTOTAL(109,Tabla40[2002])</f>
        <v>336</v>
      </c>
      <c r="D33" s="105">
        <f>SUBTOTAL(109,Tabla40[2003])</f>
        <v>540</v>
      </c>
      <c r="E33" s="105">
        <f>SUBTOTAL(109,Tabla40[2004])</f>
        <v>221</v>
      </c>
      <c r="F33" s="105">
        <f>SUBTOTAL(109,Tabla40[2005])</f>
        <v>144</v>
      </c>
      <c r="G33" s="105">
        <f>SUBTOTAL(109,Tabla40[2006])</f>
        <v>357</v>
      </c>
      <c r="H33" s="105">
        <f>SUBTOTAL(109,Tabla40[2007])</f>
        <v>384</v>
      </c>
      <c r="I33" s="105">
        <f>SUBTOTAL(109,Tabla40[2008])</f>
        <v>211</v>
      </c>
      <c r="J33" s="105">
        <f>SUBTOTAL(109,Tabla40[2009])</f>
        <v>382</v>
      </c>
      <c r="K33" s="105">
        <f>SUBTOTAL(109,Tabla40[2010])</f>
        <v>439</v>
      </c>
      <c r="L33" s="105">
        <f>SUBTOTAL(109,Tabla40[2011])</f>
        <v>409</v>
      </c>
      <c r="M33" s="105">
        <f>SUBTOTAL(109,Tabla40[2012])</f>
        <v>591</v>
      </c>
      <c r="N33" s="105">
        <f>SUBTOTAL(109,Tabla40[2013])</f>
        <v>783</v>
      </c>
      <c r="O33" s="105">
        <f>SUBTOTAL(109,Tabla40[2014])</f>
        <v>1208</v>
      </c>
      <c r="P33" s="105">
        <f>SUBTOTAL(109,Tabla40[2015])</f>
        <v>377</v>
      </c>
      <c r="Q33" s="105">
        <f>SUBTOTAL(109,Tabla40[2016])</f>
        <v>643</v>
      </c>
      <c r="R33" s="105">
        <f>SUBTOTAL(109,Tabla40[2017])</f>
        <v>204</v>
      </c>
      <c r="S33" s="105">
        <f>SUBTOTAL(109,Tabla40[2018])</f>
        <v>147</v>
      </c>
      <c r="T33" s="105">
        <f>SUBTOTAL(109,Tabla40[2019])</f>
        <v>194</v>
      </c>
      <c r="U33" s="105">
        <f>SUBTOTAL(109,Tabla40[2020])</f>
        <v>204</v>
      </c>
      <c r="V33" s="105">
        <f>SUBTOTAL(109,Tabla40[2021])</f>
        <v>181</v>
      </c>
      <c r="W33" s="105">
        <f>SUBTOTAL(109,Tabla40[2022])</f>
        <v>111</v>
      </c>
      <c r="X33" s="105">
        <f>SUBTOTAL(109,Tabla40[2023])</f>
        <v>1</v>
      </c>
      <c r="Y33" s="96">
        <f>SUM(Y5:Y32)</f>
        <v>8067</v>
      </c>
    </row>
  </sheetData>
  <mergeCells count="3">
    <mergeCell ref="B3:B4"/>
    <mergeCell ref="C3:V3"/>
    <mergeCell ref="Y3:Y4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84BA-E48B-44C3-B65E-2E5FD4ABFF81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E9CB-F2BF-43EE-A6A0-D585AA4A772C}">
  <dimension ref="B3:F26"/>
  <sheetViews>
    <sheetView workbookViewId="0">
      <selection activeCell="B3" sqref="B3:F26"/>
    </sheetView>
  </sheetViews>
  <sheetFormatPr baseColWidth="10" defaultRowHeight="15" x14ac:dyDescent="0.25"/>
  <cols>
    <col min="3" max="3" width="15.42578125" customWidth="1"/>
    <col min="4" max="4" width="13.5703125" customWidth="1"/>
  </cols>
  <sheetData>
    <row r="3" spans="2:6" ht="60" x14ac:dyDescent="0.25">
      <c r="B3" s="114" t="s">
        <v>61</v>
      </c>
      <c r="C3" s="115" t="s">
        <v>79</v>
      </c>
      <c r="D3" s="115" t="s">
        <v>80</v>
      </c>
      <c r="E3" s="115" t="s">
        <v>81</v>
      </c>
      <c r="F3" s="116" t="s">
        <v>35</v>
      </c>
    </row>
    <row r="4" spans="2:6" x14ac:dyDescent="0.25">
      <c r="B4" s="10">
        <v>2002</v>
      </c>
      <c r="C4" s="37">
        <v>0</v>
      </c>
      <c r="D4" s="37">
        <v>0</v>
      </c>
      <c r="E4" s="36">
        <v>102</v>
      </c>
      <c r="F4" s="99">
        <f>SUM(Tabla30[[#This Row],[En proceso 
de Notificación]:[Concluidas]])</f>
        <v>102</v>
      </c>
    </row>
    <row r="5" spans="2:6" x14ac:dyDescent="0.25">
      <c r="B5" s="10">
        <v>2003</v>
      </c>
      <c r="C5" s="37">
        <v>0</v>
      </c>
      <c r="D5" s="37">
        <v>0</v>
      </c>
      <c r="E5" s="36">
        <v>192</v>
      </c>
      <c r="F5" s="99">
        <f>SUM(Tabla30[[#This Row],[En proceso 
de Notificación]:[Concluidas]])</f>
        <v>192</v>
      </c>
    </row>
    <row r="6" spans="2:6" x14ac:dyDescent="0.25">
      <c r="B6" s="10">
        <v>2004</v>
      </c>
      <c r="C6" s="37">
        <v>0</v>
      </c>
      <c r="D6" s="37">
        <v>0</v>
      </c>
      <c r="E6" s="36">
        <v>332</v>
      </c>
      <c r="F6" s="99">
        <f>SUM(Tabla30[[#This Row],[En proceso 
de Notificación]:[Concluidas]])</f>
        <v>332</v>
      </c>
    </row>
    <row r="7" spans="2:6" x14ac:dyDescent="0.25">
      <c r="B7" s="10">
        <v>2005</v>
      </c>
      <c r="C7" s="37">
        <v>0</v>
      </c>
      <c r="D7" s="37">
        <v>0</v>
      </c>
      <c r="E7" s="36">
        <v>285</v>
      </c>
      <c r="F7" s="99">
        <f>SUM(Tabla30[[#This Row],[En proceso 
de Notificación]:[Concluidas]])</f>
        <v>285</v>
      </c>
    </row>
    <row r="8" spans="2:6" x14ac:dyDescent="0.25">
      <c r="B8" s="10">
        <v>2006</v>
      </c>
      <c r="C8" s="37">
        <v>0</v>
      </c>
      <c r="D8" s="37">
        <v>0</v>
      </c>
      <c r="E8" s="36">
        <v>360</v>
      </c>
      <c r="F8" s="99">
        <f>SUM(Tabla30[[#This Row],[En proceso 
de Notificación]:[Concluidas]])</f>
        <v>360</v>
      </c>
    </row>
    <row r="9" spans="2:6" x14ac:dyDescent="0.25">
      <c r="B9" s="10">
        <v>2007</v>
      </c>
      <c r="C9" s="37">
        <v>0</v>
      </c>
      <c r="D9" s="37">
        <v>0</v>
      </c>
      <c r="E9" s="36">
        <v>1174</v>
      </c>
      <c r="F9" s="99">
        <f>SUM(Tabla30[[#This Row],[En proceso 
de Notificación]:[Concluidas]])</f>
        <v>1174</v>
      </c>
    </row>
    <row r="10" spans="2:6" x14ac:dyDescent="0.25">
      <c r="B10" s="10">
        <v>2008</v>
      </c>
      <c r="C10" s="37">
        <v>0</v>
      </c>
      <c r="D10" s="37">
        <v>0</v>
      </c>
      <c r="E10" s="36">
        <v>1109</v>
      </c>
      <c r="F10" s="99">
        <f>SUM(Tabla30[[#This Row],[En proceso 
de Notificación]:[Concluidas]])</f>
        <v>1109</v>
      </c>
    </row>
    <row r="11" spans="2:6" x14ac:dyDescent="0.25">
      <c r="B11" s="10">
        <v>2009</v>
      </c>
      <c r="C11" s="37">
        <v>0</v>
      </c>
      <c r="D11" s="37">
        <v>0</v>
      </c>
      <c r="E11" s="36">
        <v>996</v>
      </c>
      <c r="F11" s="99">
        <f>SUM(Tabla30[[#This Row],[En proceso 
de Notificación]:[Concluidas]])</f>
        <v>996</v>
      </c>
    </row>
    <row r="12" spans="2:6" x14ac:dyDescent="0.25">
      <c r="B12" s="10">
        <v>2010</v>
      </c>
      <c r="C12" s="37">
        <v>0</v>
      </c>
      <c r="D12" s="37">
        <v>0</v>
      </c>
      <c r="E12" s="36">
        <v>1337</v>
      </c>
      <c r="F12" s="99">
        <f>SUM(Tabla30[[#This Row],[En proceso 
de Notificación]:[Concluidas]])</f>
        <v>1337</v>
      </c>
    </row>
    <row r="13" spans="2:6" x14ac:dyDescent="0.25">
      <c r="B13" s="10">
        <v>2011</v>
      </c>
      <c r="C13" s="37">
        <v>0</v>
      </c>
      <c r="D13" s="37">
        <v>0</v>
      </c>
      <c r="E13" s="36">
        <v>1239</v>
      </c>
      <c r="F13" s="99">
        <f>SUM(Tabla30[[#This Row],[En proceso 
de Notificación]:[Concluidas]])</f>
        <v>1239</v>
      </c>
    </row>
    <row r="14" spans="2:6" x14ac:dyDescent="0.25">
      <c r="B14" s="10">
        <v>2012</v>
      </c>
      <c r="C14" s="37">
        <v>0</v>
      </c>
      <c r="D14" s="37">
        <v>0</v>
      </c>
      <c r="E14" s="36">
        <v>1910</v>
      </c>
      <c r="F14" s="99">
        <f>SUM(Tabla30[[#This Row],[En proceso 
de Notificación]:[Concluidas]])</f>
        <v>1910</v>
      </c>
    </row>
    <row r="15" spans="2:6" x14ac:dyDescent="0.25">
      <c r="B15" s="10">
        <v>2013</v>
      </c>
      <c r="C15" s="37">
        <v>0</v>
      </c>
      <c r="D15" s="37">
        <v>0</v>
      </c>
      <c r="E15" s="36">
        <v>2033</v>
      </c>
      <c r="F15" s="99">
        <f>SUM(Tabla30[[#This Row],[En proceso 
de Notificación]:[Concluidas]])</f>
        <v>2033</v>
      </c>
    </row>
    <row r="16" spans="2:6" x14ac:dyDescent="0.25">
      <c r="B16" s="10">
        <v>2014</v>
      </c>
      <c r="C16" s="37">
        <v>0</v>
      </c>
      <c r="D16" s="37">
        <v>0</v>
      </c>
      <c r="E16" s="36">
        <v>2226</v>
      </c>
      <c r="F16" s="99">
        <f>SUM(Tabla30[[#This Row],[En proceso 
de Notificación]:[Concluidas]])</f>
        <v>2226</v>
      </c>
    </row>
    <row r="17" spans="2:6" x14ac:dyDescent="0.25">
      <c r="B17" s="10">
        <v>2015</v>
      </c>
      <c r="C17" s="37">
        <v>0</v>
      </c>
      <c r="D17" s="37">
        <v>0</v>
      </c>
      <c r="E17" s="36">
        <v>2782</v>
      </c>
      <c r="F17" s="99">
        <f>SUM(Tabla30[[#This Row],[En proceso 
de Notificación]:[Concluidas]])</f>
        <v>2782</v>
      </c>
    </row>
    <row r="18" spans="2:6" x14ac:dyDescent="0.25">
      <c r="B18" s="10">
        <v>2016</v>
      </c>
      <c r="C18" s="37">
        <v>0</v>
      </c>
      <c r="D18" s="37">
        <v>0</v>
      </c>
      <c r="E18" s="36">
        <v>2810</v>
      </c>
      <c r="F18" s="99">
        <f>SUM(Tabla30[[#This Row],[En proceso 
de Notificación]:[Concluidas]])</f>
        <v>2810</v>
      </c>
    </row>
    <row r="19" spans="2:6" x14ac:dyDescent="0.25">
      <c r="B19" s="10">
        <v>2017</v>
      </c>
      <c r="C19" s="37">
        <v>0</v>
      </c>
      <c r="D19" s="37">
        <v>0</v>
      </c>
      <c r="E19" s="36">
        <v>2058</v>
      </c>
      <c r="F19" s="99">
        <f>SUM(Tabla30[[#This Row],[En proceso 
de Notificación]:[Concluidas]])</f>
        <v>2058</v>
      </c>
    </row>
    <row r="20" spans="2:6" x14ac:dyDescent="0.25">
      <c r="B20" s="10">
        <v>2018</v>
      </c>
      <c r="C20" s="37">
        <v>0</v>
      </c>
      <c r="D20" s="37">
        <v>801</v>
      </c>
      <c r="E20" s="36">
        <v>1749</v>
      </c>
      <c r="F20" s="99">
        <f>SUM(Tabla30[[#This Row],[En proceso 
de Notificación]:[Concluidas]])</f>
        <v>2550</v>
      </c>
    </row>
    <row r="21" spans="2:6" x14ac:dyDescent="0.25">
      <c r="B21" s="10">
        <v>2019</v>
      </c>
      <c r="C21" s="37">
        <v>0</v>
      </c>
      <c r="D21" s="37">
        <v>1209</v>
      </c>
      <c r="E21" s="36">
        <v>299</v>
      </c>
      <c r="F21" s="99">
        <f>SUM(Tabla30[[#This Row],[En proceso 
de Notificación]:[Concluidas]])</f>
        <v>1508</v>
      </c>
    </row>
    <row r="22" spans="2:6" x14ac:dyDescent="0.25">
      <c r="B22" s="10">
        <v>2020</v>
      </c>
      <c r="C22" s="37">
        <v>0</v>
      </c>
      <c r="D22" s="37">
        <v>576</v>
      </c>
      <c r="E22" s="36">
        <v>757</v>
      </c>
      <c r="F22" s="99">
        <f>SUM(Tabla30[[#This Row],[En proceso 
de Notificación]:[Concluidas]])</f>
        <v>1333</v>
      </c>
    </row>
    <row r="23" spans="2:6" x14ac:dyDescent="0.25">
      <c r="B23" s="10">
        <v>2021</v>
      </c>
      <c r="C23" s="37">
        <v>0</v>
      </c>
      <c r="D23" s="37">
        <v>413</v>
      </c>
      <c r="E23" s="36">
        <v>1016</v>
      </c>
      <c r="F23" s="99">
        <f>SUM(Tabla30[[#This Row],[En proceso 
de Notificación]:[Concluidas]])</f>
        <v>1429</v>
      </c>
    </row>
    <row r="24" spans="2:6" x14ac:dyDescent="0.25">
      <c r="B24" s="10">
        <v>2022</v>
      </c>
      <c r="C24" s="37">
        <v>0</v>
      </c>
      <c r="D24" s="37">
        <v>1330</v>
      </c>
      <c r="E24" s="36">
        <v>300</v>
      </c>
      <c r="F24" s="99">
        <f>SUM(Tabla30[[#This Row],[En proceso 
de Notificación]:[Concluidas]])</f>
        <v>1630</v>
      </c>
    </row>
    <row r="25" spans="2:6" x14ac:dyDescent="0.25">
      <c r="B25" s="10">
        <v>2023</v>
      </c>
      <c r="C25" s="37">
        <v>0</v>
      </c>
      <c r="D25" s="37">
        <v>112</v>
      </c>
      <c r="E25" s="36">
        <v>0</v>
      </c>
      <c r="F25" s="99">
        <f>SUM(Tabla30[[#This Row],[En proceso 
de Notificación]:[Concluidas]])</f>
        <v>112</v>
      </c>
    </row>
    <row r="26" spans="2:6" x14ac:dyDescent="0.25">
      <c r="B26" s="81" t="s">
        <v>35</v>
      </c>
      <c r="C26" s="49">
        <f>SUBTOTAL(109,C4:C25)</f>
        <v>0</v>
      </c>
      <c r="D26" s="49">
        <f t="shared" ref="D26:E26" si="0">SUBTOTAL(109,D4:D25)</f>
        <v>4441</v>
      </c>
      <c r="E26" s="48">
        <f t="shared" si="0"/>
        <v>25066</v>
      </c>
      <c r="F26" s="99">
        <f>SUM(Tabla30[[#This Row],[En proceso 
de Notificación]:[Concluidas]])</f>
        <v>29507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6805-5153-4966-B62A-169913B5E2A1}">
  <dimension ref="B3:Y34"/>
  <sheetViews>
    <sheetView workbookViewId="0">
      <selection activeCell="L7" sqref="L7"/>
    </sheetView>
  </sheetViews>
  <sheetFormatPr baseColWidth="10" defaultRowHeight="15" x14ac:dyDescent="0.25"/>
  <cols>
    <col min="2" max="2" width="28.140625" customWidth="1"/>
    <col min="3" max="25" width="7.28515625" customWidth="1"/>
  </cols>
  <sheetData>
    <row r="3" spans="2:25" x14ac:dyDescent="0.25">
      <c r="B3" s="83" t="s">
        <v>0</v>
      </c>
      <c r="C3" s="84" t="s">
        <v>36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7" t="s">
        <v>35</v>
      </c>
    </row>
    <row r="4" spans="2:25" x14ac:dyDescent="0.25">
      <c r="B4" s="83"/>
      <c r="C4" s="98" t="s">
        <v>37</v>
      </c>
      <c r="D4" s="98" t="s">
        <v>38</v>
      </c>
      <c r="E4" s="98" t="s">
        <v>39</v>
      </c>
      <c r="F4" s="98" t="s">
        <v>40</v>
      </c>
      <c r="G4" s="98" t="s">
        <v>41</v>
      </c>
      <c r="H4" s="98" t="s">
        <v>42</v>
      </c>
      <c r="I4" s="98" t="s">
        <v>43</v>
      </c>
      <c r="J4" s="98" t="s">
        <v>44</v>
      </c>
      <c r="K4" s="98" t="s">
        <v>45</v>
      </c>
      <c r="L4" s="98" t="s">
        <v>46</v>
      </c>
      <c r="M4" s="98" t="s">
        <v>47</v>
      </c>
      <c r="N4" s="98" t="s">
        <v>48</v>
      </c>
      <c r="O4" s="98" t="s">
        <v>49</v>
      </c>
      <c r="P4" s="98" t="s">
        <v>50</v>
      </c>
      <c r="Q4" s="98" t="s">
        <v>51</v>
      </c>
      <c r="R4" s="98" t="s">
        <v>52</v>
      </c>
      <c r="S4" s="98" t="s">
        <v>53</v>
      </c>
      <c r="T4" s="98" t="s">
        <v>54</v>
      </c>
      <c r="U4" s="98" t="s">
        <v>55</v>
      </c>
      <c r="V4" s="98" t="s">
        <v>56</v>
      </c>
      <c r="W4" s="104" t="s">
        <v>57</v>
      </c>
      <c r="X4" s="104" t="s">
        <v>58</v>
      </c>
      <c r="Y4" s="87"/>
    </row>
    <row r="5" spans="2:25" ht="75" x14ac:dyDescent="0.25">
      <c r="B5" s="91" t="s">
        <v>4</v>
      </c>
      <c r="C5" s="117">
        <v>34</v>
      </c>
      <c r="D5" s="117">
        <v>101</v>
      </c>
      <c r="E5" s="117">
        <v>176</v>
      </c>
      <c r="F5" s="117">
        <v>140</v>
      </c>
      <c r="G5" s="117">
        <v>186</v>
      </c>
      <c r="H5" s="117">
        <v>971</v>
      </c>
      <c r="I5" s="117">
        <v>952</v>
      </c>
      <c r="J5" s="117">
        <v>824</v>
      </c>
      <c r="K5" s="117">
        <v>1072</v>
      </c>
      <c r="L5" s="117">
        <v>982</v>
      </c>
      <c r="M5" s="117">
        <v>1540</v>
      </c>
      <c r="N5" s="117">
        <v>1594</v>
      </c>
      <c r="O5" s="117">
        <v>1779</v>
      </c>
      <c r="P5" s="117">
        <v>2049</v>
      </c>
      <c r="Q5" s="117">
        <v>2178</v>
      </c>
      <c r="R5" s="117">
        <v>1451</v>
      </c>
      <c r="S5" s="117">
        <v>1594</v>
      </c>
      <c r="T5" s="117">
        <v>797</v>
      </c>
      <c r="U5" s="117">
        <v>745</v>
      </c>
      <c r="V5" s="117">
        <v>913</v>
      </c>
      <c r="W5" s="118">
        <v>987</v>
      </c>
      <c r="X5" s="118">
        <v>81</v>
      </c>
      <c r="Y5" s="96">
        <f>SUM(Tabla42[[#This Row],[2002]:[2023]])</f>
        <v>21146</v>
      </c>
    </row>
    <row r="6" spans="2:25" ht="90" x14ac:dyDescent="0.25">
      <c r="B6" s="91" t="s">
        <v>7</v>
      </c>
      <c r="C6" s="117">
        <v>4</v>
      </c>
      <c r="D6" s="117">
        <v>5</v>
      </c>
      <c r="E6" s="117">
        <v>15</v>
      </c>
      <c r="F6" s="117">
        <v>23</v>
      </c>
      <c r="G6" s="117">
        <v>54</v>
      </c>
      <c r="H6" s="117">
        <v>42</v>
      </c>
      <c r="I6" s="117">
        <v>11</v>
      </c>
      <c r="J6" s="117">
        <v>7</v>
      </c>
      <c r="K6" s="117">
        <v>24</v>
      </c>
      <c r="L6" s="117">
        <v>10</v>
      </c>
      <c r="M6" s="117">
        <v>72</v>
      </c>
      <c r="N6" s="117">
        <v>11</v>
      </c>
      <c r="O6" s="117">
        <v>52</v>
      </c>
      <c r="P6" s="117">
        <v>122</v>
      </c>
      <c r="Q6" s="117">
        <v>76</v>
      </c>
      <c r="R6" s="117">
        <v>144</v>
      </c>
      <c r="S6" s="117">
        <v>274</v>
      </c>
      <c r="T6" s="117">
        <v>199</v>
      </c>
      <c r="U6" s="117">
        <v>106</v>
      </c>
      <c r="V6" s="117">
        <v>52</v>
      </c>
      <c r="W6" s="117">
        <v>97</v>
      </c>
      <c r="X6" s="117">
        <v>16</v>
      </c>
      <c r="Y6" s="96">
        <f>SUM(Tabla42[[#This Row],[2002]:[2023]])</f>
        <v>1416</v>
      </c>
    </row>
    <row r="7" spans="2:25" ht="105" x14ac:dyDescent="0.25">
      <c r="B7" s="91" t="s">
        <v>8</v>
      </c>
      <c r="C7" s="117">
        <v>3</v>
      </c>
      <c r="D7" s="117" t="s">
        <v>59</v>
      </c>
      <c r="E7" s="117">
        <v>14</v>
      </c>
      <c r="F7" s="117">
        <v>9</v>
      </c>
      <c r="G7" s="117">
        <v>2</v>
      </c>
      <c r="H7" s="117" t="s">
        <v>59</v>
      </c>
      <c r="I7" s="117">
        <v>2</v>
      </c>
      <c r="J7" s="117">
        <v>1</v>
      </c>
      <c r="K7" s="117">
        <v>2</v>
      </c>
      <c r="L7" s="117">
        <v>7</v>
      </c>
      <c r="M7" s="117">
        <v>30</v>
      </c>
      <c r="N7" s="117">
        <v>87</v>
      </c>
      <c r="O7" s="117">
        <v>109</v>
      </c>
      <c r="P7" s="117">
        <v>138</v>
      </c>
      <c r="Q7" s="117">
        <v>142</v>
      </c>
      <c r="R7" s="117">
        <v>55</v>
      </c>
      <c r="S7" s="117">
        <v>146</v>
      </c>
      <c r="T7" s="117">
        <v>88</v>
      </c>
      <c r="U7" s="117">
        <v>122</v>
      </c>
      <c r="V7" s="117">
        <v>143</v>
      </c>
      <c r="W7" s="117">
        <v>169</v>
      </c>
      <c r="X7" s="117" t="s">
        <v>59</v>
      </c>
      <c r="Y7" s="96">
        <f>SUM(Tabla42[[#This Row],[2002]:[2023]])</f>
        <v>1269</v>
      </c>
    </row>
    <row r="8" spans="2:25" ht="60" x14ac:dyDescent="0.25">
      <c r="B8" s="91" t="s">
        <v>13</v>
      </c>
      <c r="C8" s="117">
        <v>11</v>
      </c>
      <c r="D8" s="117">
        <v>2</v>
      </c>
      <c r="E8" s="117">
        <v>17</v>
      </c>
      <c r="F8" s="117">
        <v>22</v>
      </c>
      <c r="G8" s="117">
        <v>16</v>
      </c>
      <c r="H8" s="117">
        <v>16</v>
      </c>
      <c r="I8" s="117">
        <v>20</v>
      </c>
      <c r="J8" s="117">
        <v>26</v>
      </c>
      <c r="K8" s="117">
        <v>77</v>
      </c>
      <c r="L8" s="117">
        <v>106</v>
      </c>
      <c r="M8" s="117">
        <v>73</v>
      </c>
      <c r="N8" s="117">
        <v>92</v>
      </c>
      <c r="O8" s="117">
        <v>98</v>
      </c>
      <c r="P8" s="117">
        <v>118</v>
      </c>
      <c r="Q8" s="117">
        <v>116</v>
      </c>
      <c r="R8" s="117">
        <v>101</v>
      </c>
      <c r="S8" s="117">
        <v>107</v>
      </c>
      <c r="T8" s="117">
        <v>36</v>
      </c>
      <c r="U8" s="117">
        <v>36</v>
      </c>
      <c r="V8" s="117">
        <v>26</v>
      </c>
      <c r="W8" s="117">
        <v>34</v>
      </c>
      <c r="X8" s="117" t="s">
        <v>59</v>
      </c>
      <c r="Y8" s="96">
        <f>SUM(Tabla42[[#This Row],[2002]:[2023]])</f>
        <v>1150</v>
      </c>
    </row>
    <row r="9" spans="2:25" ht="60" x14ac:dyDescent="0.25">
      <c r="B9" s="91" t="s">
        <v>6</v>
      </c>
      <c r="C9" s="117">
        <v>8</v>
      </c>
      <c r="D9" s="117">
        <v>8</v>
      </c>
      <c r="E9" s="117">
        <v>33</v>
      </c>
      <c r="F9" s="117">
        <v>24</v>
      </c>
      <c r="G9" s="117">
        <v>16</v>
      </c>
      <c r="H9" s="117">
        <v>24</v>
      </c>
      <c r="I9" s="117">
        <v>10</v>
      </c>
      <c r="J9" s="117">
        <v>22</v>
      </c>
      <c r="K9" s="117">
        <v>29</v>
      </c>
      <c r="L9" s="117">
        <v>16</v>
      </c>
      <c r="M9" s="117">
        <v>12</v>
      </c>
      <c r="N9" s="117">
        <v>27</v>
      </c>
      <c r="O9" s="117">
        <v>21</v>
      </c>
      <c r="P9" s="117">
        <v>42</v>
      </c>
      <c r="Q9" s="117">
        <v>52</v>
      </c>
      <c r="R9" s="117">
        <v>40</v>
      </c>
      <c r="S9" s="117">
        <v>48</v>
      </c>
      <c r="T9" s="117">
        <v>42</v>
      </c>
      <c r="U9" s="117">
        <v>35</v>
      </c>
      <c r="V9" s="117">
        <v>53</v>
      </c>
      <c r="W9" s="117">
        <v>49</v>
      </c>
      <c r="X9" s="117">
        <v>4</v>
      </c>
      <c r="Y9" s="96">
        <f>SUM(Tabla42[[#This Row],[2002]:[2023]])</f>
        <v>615</v>
      </c>
    </row>
    <row r="10" spans="2:25" ht="90" x14ac:dyDescent="0.25">
      <c r="B10" s="91" t="s">
        <v>10</v>
      </c>
      <c r="C10" s="117">
        <v>6</v>
      </c>
      <c r="D10" s="117">
        <v>10</v>
      </c>
      <c r="E10" s="117">
        <v>16</v>
      </c>
      <c r="F10" s="117">
        <v>18</v>
      </c>
      <c r="G10" s="117">
        <v>10</v>
      </c>
      <c r="H10" s="117">
        <v>27</v>
      </c>
      <c r="I10" s="117">
        <v>36</v>
      </c>
      <c r="J10" s="117">
        <v>31</v>
      </c>
      <c r="K10" s="117">
        <v>35</v>
      </c>
      <c r="L10" s="117">
        <v>25</v>
      </c>
      <c r="M10" s="117">
        <v>29</v>
      </c>
      <c r="N10" s="117">
        <v>12</v>
      </c>
      <c r="O10" s="117">
        <v>26</v>
      </c>
      <c r="P10" s="117">
        <v>24</v>
      </c>
      <c r="Q10" s="117">
        <v>31</v>
      </c>
      <c r="R10" s="117">
        <v>24</v>
      </c>
      <c r="S10" s="117">
        <v>53</v>
      </c>
      <c r="T10" s="117">
        <v>28</v>
      </c>
      <c r="U10" s="117">
        <v>39</v>
      </c>
      <c r="V10" s="117">
        <v>38</v>
      </c>
      <c r="W10" s="117">
        <v>32</v>
      </c>
      <c r="X10" s="117">
        <v>1</v>
      </c>
      <c r="Y10" s="96">
        <f>SUM(Tabla42[[#This Row],[2002]:[2023]])</f>
        <v>551</v>
      </c>
    </row>
    <row r="11" spans="2:25" x14ac:dyDescent="0.25">
      <c r="B11" s="91" t="s">
        <v>14</v>
      </c>
      <c r="C11" s="117" t="s">
        <v>59</v>
      </c>
      <c r="D11" s="117">
        <v>1</v>
      </c>
      <c r="E11" s="117">
        <v>2</v>
      </c>
      <c r="F11" s="117">
        <v>1</v>
      </c>
      <c r="G11" s="117" t="s">
        <v>59</v>
      </c>
      <c r="H11" s="117">
        <v>3</v>
      </c>
      <c r="I11" s="117" t="s">
        <v>59</v>
      </c>
      <c r="J11" s="117">
        <v>4</v>
      </c>
      <c r="K11" s="117">
        <v>2</v>
      </c>
      <c r="L11" s="117">
        <v>1</v>
      </c>
      <c r="M11" s="117">
        <v>1</v>
      </c>
      <c r="N11" s="117">
        <v>3</v>
      </c>
      <c r="O11" s="117">
        <v>15</v>
      </c>
      <c r="P11" s="117">
        <v>26</v>
      </c>
      <c r="Q11" s="117">
        <v>28</v>
      </c>
      <c r="R11" s="117">
        <v>53</v>
      </c>
      <c r="S11" s="117">
        <v>72</v>
      </c>
      <c r="T11" s="117">
        <v>94</v>
      </c>
      <c r="U11" s="117">
        <v>22</v>
      </c>
      <c r="V11" s="117">
        <v>42</v>
      </c>
      <c r="W11" s="117">
        <v>31</v>
      </c>
      <c r="X11" s="117">
        <v>4</v>
      </c>
      <c r="Y11" s="96">
        <f>SUM(Tabla42[[#This Row],[2002]:[2023]])</f>
        <v>405</v>
      </c>
    </row>
    <row r="12" spans="2:25" ht="30" x14ac:dyDescent="0.25">
      <c r="B12" s="91" t="s">
        <v>9</v>
      </c>
      <c r="C12" s="117">
        <v>2</v>
      </c>
      <c r="D12" s="117">
        <v>1</v>
      </c>
      <c r="E12" s="117">
        <v>9</v>
      </c>
      <c r="F12" s="117">
        <v>6</v>
      </c>
      <c r="G12" s="117">
        <v>7</v>
      </c>
      <c r="H12" s="117">
        <v>24</v>
      </c>
      <c r="I12" s="117">
        <v>10</v>
      </c>
      <c r="J12" s="117">
        <v>18</v>
      </c>
      <c r="K12" s="117">
        <v>10</v>
      </c>
      <c r="L12" s="117">
        <v>11</v>
      </c>
      <c r="M12" s="117">
        <v>29</v>
      </c>
      <c r="N12" s="117">
        <v>15</v>
      </c>
      <c r="O12" s="117">
        <v>26</v>
      </c>
      <c r="P12" s="117">
        <v>6</v>
      </c>
      <c r="Q12" s="117">
        <v>15</v>
      </c>
      <c r="R12" s="117">
        <v>12</v>
      </c>
      <c r="S12" s="117">
        <v>23</v>
      </c>
      <c r="T12" s="117">
        <v>58</v>
      </c>
      <c r="U12" s="117">
        <v>35</v>
      </c>
      <c r="V12" s="117">
        <v>8</v>
      </c>
      <c r="W12" s="117">
        <v>44</v>
      </c>
      <c r="X12" s="117" t="s">
        <v>59</v>
      </c>
      <c r="Y12" s="96">
        <f>SUM(Tabla42[[#This Row],[2002]:[2023]])</f>
        <v>369</v>
      </c>
    </row>
    <row r="13" spans="2:25" ht="90" x14ac:dyDescent="0.25">
      <c r="B13" s="91" t="s">
        <v>12</v>
      </c>
      <c r="C13" s="117">
        <v>4</v>
      </c>
      <c r="D13" s="117" t="s">
        <v>59</v>
      </c>
      <c r="E13" s="117">
        <v>1</v>
      </c>
      <c r="F13" s="117">
        <v>2</v>
      </c>
      <c r="G13" s="117">
        <v>4</v>
      </c>
      <c r="H13" s="117">
        <v>7</v>
      </c>
      <c r="I13" s="117">
        <v>8</v>
      </c>
      <c r="J13" s="117">
        <v>19</v>
      </c>
      <c r="K13" s="117">
        <v>7</v>
      </c>
      <c r="L13" s="117">
        <v>7</v>
      </c>
      <c r="M13" s="117">
        <v>7</v>
      </c>
      <c r="N13" s="117">
        <v>17</v>
      </c>
      <c r="O13" s="117">
        <v>14</v>
      </c>
      <c r="P13" s="117">
        <v>41</v>
      </c>
      <c r="Q13" s="117">
        <v>28</v>
      </c>
      <c r="R13" s="117">
        <v>43</v>
      </c>
      <c r="S13" s="117">
        <v>46</v>
      </c>
      <c r="T13" s="117">
        <v>16</v>
      </c>
      <c r="U13" s="117">
        <v>19</v>
      </c>
      <c r="V13" s="117">
        <v>21</v>
      </c>
      <c r="W13" s="117">
        <v>37</v>
      </c>
      <c r="X13" s="117">
        <v>2</v>
      </c>
      <c r="Y13" s="96">
        <f>SUM(Tabla42[[#This Row],[2002]:[2023]])</f>
        <v>350</v>
      </c>
    </row>
    <row r="14" spans="2:25" x14ac:dyDescent="0.25">
      <c r="B14" s="91" t="s">
        <v>11</v>
      </c>
      <c r="C14" s="117" t="s">
        <v>59</v>
      </c>
      <c r="D14" s="117">
        <v>1</v>
      </c>
      <c r="E14" s="117">
        <v>8</v>
      </c>
      <c r="F14" s="117">
        <v>2</v>
      </c>
      <c r="G14" s="117">
        <v>12</v>
      </c>
      <c r="H14" s="117">
        <v>8</v>
      </c>
      <c r="I14" s="117">
        <v>32</v>
      </c>
      <c r="J14" s="117">
        <v>2</v>
      </c>
      <c r="K14" s="117">
        <v>9</v>
      </c>
      <c r="L14" s="117">
        <v>3</v>
      </c>
      <c r="M14" s="117">
        <v>14</v>
      </c>
      <c r="N14" s="117">
        <v>40</v>
      </c>
      <c r="O14" s="117">
        <v>12</v>
      </c>
      <c r="P14" s="117">
        <v>35</v>
      </c>
      <c r="Q14" s="117">
        <v>19</v>
      </c>
      <c r="R14" s="117">
        <v>10</v>
      </c>
      <c r="S14" s="117">
        <v>24</v>
      </c>
      <c r="T14" s="117">
        <v>10</v>
      </c>
      <c r="U14" s="117">
        <v>31</v>
      </c>
      <c r="V14" s="117">
        <v>31</v>
      </c>
      <c r="W14" s="117">
        <v>13</v>
      </c>
      <c r="X14" s="117">
        <v>1</v>
      </c>
      <c r="Y14" s="96">
        <f>SUM(Tabla42[[#This Row],[2002]:[2023]])</f>
        <v>317</v>
      </c>
    </row>
    <row r="15" spans="2:25" ht="45" x14ac:dyDescent="0.25">
      <c r="B15" s="91" t="s">
        <v>5</v>
      </c>
      <c r="C15" s="117">
        <v>6</v>
      </c>
      <c r="D15" s="117">
        <v>33</v>
      </c>
      <c r="E15" s="117">
        <v>12</v>
      </c>
      <c r="F15" s="117">
        <v>18</v>
      </c>
      <c r="G15" s="117">
        <v>10</v>
      </c>
      <c r="H15" s="117">
        <v>12</v>
      </c>
      <c r="I15" s="117">
        <v>13</v>
      </c>
      <c r="J15" s="117">
        <v>7</v>
      </c>
      <c r="K15" s="117">
        <v>18</v>
      </c>
      <c r="L15" s="117">
        <v>10</v>
      </c>
      <c r="M15" s="117">
        <v>15</v>
      </c>
      <c r="N15" s="117">
        <v>14</v>
      </c>
      <c r="O15" s="117">
        <v>12</v>
      </c>
      <c r="P15" s="117">
        <v>8</v>
      </c>
      <c r="Q15" s="117">
        <v>10</v>
      </c>
      <c r="R15" s="117">
        <v>22</v>
      </c>
      <c r="S15" s="117">
        <v>12</v>
      </c>
      <c r="T15" s="117">
        <v>16</v>
      </c>
      <c r="U15" s="117">
        <v>13</v>
      </c>
      <c r="V15" s="117">
        <v>17</v>
      </c>
      <c r="W15" s="117">
        <v>23</v>
      </c>
      <c r="X15" s="117" t="s">
        <v>59</v>
      </c>
      <c r="Y15" s="96">
        <f>SUM(Tabla42[[#This Row],[2002]:[2023]])</f>
        <v>301</v>
      </c>
    </row>
    <row r="16" spans="2:25" x14ac:dyDescent="0.25">
      <c r="B16" s="91" t="s">
        <v>15</v>
      </c>
      <c r="C16" s="117">
        <v>3</v>
      </c>
      <c r="D16" s="117" t="s">
        <v>59</v>
      </c>
      <c r="E16" s="117">
        <v>5</v>
      </c>
      <c r="F16" s="117">
        <v>8</v>
      </c>
      <c r="G16" s="117">
        <v>5</v>
      </c>
      <c r="H16" s="117">
        <v>6</v>
      </c>
      <c r="I16" s="117">
        <v>1</v>
      </c>
      <c r="J16" s="117">
        <v>2</v>
      </c>
      <c r="K16" s="117">
        <v>4</v>
      </c>
      <c r="L16" s="117">
        <v>1</v>
      </c>
      <c r="M16" s="117">
        <v>9</v>
      </c>
      <c r="N16" s="117">
        <v>18</v>
      </c>
      <c r="O16" s="117">
        <v>13</v>
      </c>
      <c r="P16" s="117">
        <v>89</v>
      </c>
      <c r="Q16" s="117">
        <v>24</v>
      </c>
      <c r="R16" s="117">
        <v>7</v>
      </c>
      <c r="S16" s="117">
        <v>16</v>
      </c>
      <c r="T16" s="117">
        <v>26</v>
      </c>
      <c r="U16" s="117">
        <v>28</v>
      </c>
      <c r="V16" s="117">
        <v>18</v>
      </c>
      <c r="W16" s="117">
        <v>7</v>
      </c>
      <c r="X16" s="117" t="s">
        <v>59</v>
      </c>
      <c r="Y16" s="96">
        <f>SUM(Tabla42[[#This Row],[2002]:[2023]])</f>
        <v>290</v>
      </c>
    </row>
    <row r="17" spans="2:25" ht="90" x14ac:dyDescent="0.25">
      <c r="B17" s="91" t="s">
        <v>21</v>
      </c>
      <c r="C17" s="117" t="s">
        <v>59</v>
      </c>
      <c r="D17" s="117" t="s">
        <v>59</v>
      </c>
      <c r="E17" s="117" t="s">
        <v>59</v>
      </c>
      <c r="F17" s="117" t="s">
        <v>59</v>
      </c>
      <c r="G17" s="117">
        <v>3</v>
      </c>
      <c r="H17" s="117" t="s">
        <v>59</v>
      </c>
      <c r="I17" s="117">
        <v>1</v>
      </c>
      <c r="J17" s="117">
        <v>15</v>
      </c>
      <c r="K17" s="117">
        <v>22</v>
      </c>
      <c r="L17" s="117">
        <v>36</v>
      </c>
      <c r="M17" s="117">
        <v>18</v>
      </c>
      <c r="N17" s="117">
        <v>6</v>
      </c>
      <c r="O17" s="117">
        <v>6</v>
      </c>
      <c r="P17" s="117">
        <v>5</v>
      </c>
      <c r="Q17" s="117">
        <v>25</v>
      </c>
      <c r="R17" s="117">
        <v>13</v>
      </c>
      <c r="S17" s="117">
        <v>28</v>
      </c>
      <c r="T17" s="117">
        <v>3</v>
      </c>
      <c r="U17" s="117">
        <v>4</v>
      </c>
      <c r="V17" s="117">
        <v>15</v>
      </c>
      <c r="W17" s="117">
        <v>31</v>
      </c>
      <c r="X17" s="117" t="s">
        <v>59</v>
      </c>
      <c r="Y17" s="96">
        <f>SUM(Tabla42[[#This Row],[2002]:[2023]])</f>
        <v>231</v>
      </c>
    </row>
    <row r="18" spans="2:25" x14ac:dyDescent="0.25">
      <c r="B18" s="91" t="s">
        <v>18</v>
      </c>
      <c r="C18" s="117" t="s">
        <v>59</v>
      </c>
      <c r="D18" s="117">
        <v>1</v>
      </c>
      <c r="E18" s="117" t="s">
        <v>59</v>
      </c>
      <c r="F18" s="117">
        <v>3</v>
      </c>
      <c r="G18" s="117" t="s">
        <v>59</v>
      </c>
      <c r="H18" s="117">
        <v>6</v>
      </c>
      <c r="I18" s="117">
        <v>2</v>
      </c>
      <c r="J18" s="117" t="s">
        <v>59</v>
      </c>
      <c r="K18" s="117">
        <v>3</v>
      </c>
      <c r="L18" s="117">
        <v>3</v>
      </c>
      <c r="M18" s="117">
        <v>8</v>
      </c>
      <c r="N18" s="117">
        <v>32</v>
      </c>
      <c r="O18" s="117">
        <v>16</v>
      </c>
      <c r="P18" s="117">
        <v>5</v>
      </c>
      <c r="Q18" s="117">
        <v>22</v>
      </c>
      <c r="R18" s="117">
        <v>9</v>
      </c>
      <c r="S18" s="117">
        <v>8</v>
      </c>
      <c r="T18" s="117">
        <v>6</v>
      </c>
      <c r="U18" s="117">
        <v>28</v>
      </c>
      <c r="V18" s="117">
        <v>2</v>
      </c>
      <c r="W18" s="117" t="s">
        <v>59</v>
      </c>
      <c r="X18" s="117" t="s">
        <v>59</v>
      </c>
      <c r="Y18" s="96">
        <f>SUM(Tabla42[[#This Row],[2002]:[2023]])</f>
        <v>154</v>
      </c>
    </row>
    <row r="19" spans="2:25" ht="90" x14ac:dyDescent="0.25">
      <c r="B19" s="91" t="s">
        <v>19</v>
      </c>
      <c r="C19" s="117">
        <v>4</v>
      </c>
      <c r="D19" s="117">
        <v>3</v>
      </c>
      <c r="E19" s="117">
        <v>3</v>
      </c>
      <c r="F19" s="117" t="s">
        <v>59</v>
      </c>
      <c r="G19" s="117">
        <v>1</v>
      </c>
      <c r="H19" s="117">
        <v>4</v>
      </c>
      <c r="I19" s="117">
        <v>1</v>
      </c>
      <c r="J19" s="117">
        <v>1</v>
      </c>
      <c r="K19" s="117">
        <v>2</v>
      </c>
      <c r="L19" s="117">
        <v>1</v>
      </c>
      <c r="M19" s="117">
        <v>10</v>
      </c>
      <c r="N19" s="117">
        <v>35</v>
      </c>
      <c r="O19" s="117">
        <v>5</v>
      </c>
      <c r="P19" s="117">
        <v>7</v>
      </c>
      <c r="Q19" s="117">
        <v>4</v>
      </c>
      <c r="R19" s="117">
        <v>9</v>
      </c>
      <c r="S19" s="117">
        <v>10</v>
      </c>
      <c r="T19" s="117">
        <v>11</v>
      </c>
      <c r="U19" s="117">
        <v>7</v>
      </c>
      <c r="V19" s="117" t="s">
        <v>59</v>
      </c>
      <c r="W19" s="117">
        <v>6</v>
      </c>
      <c r="X19" s="117" t="s">
        <v>59</v>
      </c>
      <c r="Y19" s="96">
        <f>SUM(Tabla42[[#This Row],[2002]:[2023]])</f>
        <v>124</v>
      </c>
    </row>
    <row r="20" spans="2:25" x14ac:dyDescent="0.25">
      <c r="B20" s="91" t="s">
        <v>24</v>
      </c>
      <c r="C20" s="117" t="s">
        <v>59</v>
      </c>
      <c r="D20" s="117">
        <v>1</v>
      </c>
      <c r="E20" s="117">
        <v>1</v>
      </c>
      <c r="F20" s="117" t="s">
        <v>59</v>
      </c>
      <c r="G20" s="117">
        <v>4</v>
      </c>
      <c r="H20" s="117">
        <v>1</v>
      </c>
      <c r="I20" s="117">
        <v>3</v>
      </c>
      <c r="J20" s="117">
        <v>4</v>
      </c>
      <c r="K20" s="117">
        <v>3</v>
      </c>
      <c r="L20" s="117" t="s">
        <v>59</v>
      </c>
      <c r="M20" s="117">
        <v>9</v>
      </c>
      <c r="N20" s="117" t="s">
        <v>59</v>
      </c>
      <c r="O20" s="117">
        <v>2</v>
      </c>
      <c r="P20" s="117">
        <v>13</v>
      </c>
      <c r="Q20" s="117">
        <v>11</v>
      </c>
      <c r="R20" s="117">
        <v>17</v>
      </c>
      <c r="S20" s="117">
        <v>16</v>
      </c>
      <c r="T20" s="117">
        <v>27</v>
      </c>
      <c r="U20" s="117">
        <v>7</v>
      </c>
      <c r="V20" s="117">
        <v>1</v>
      </c>
      <c r="W20" s="117" t="s">
        <v>59</v>
      </c>
      <c r="X20" s="117" t="s">
        <v>59</v>
      </c>
      <c r="Y20" s="96">
        <f>SUM(Tabla42[[#This Row],[2002]:[2023]])</f>
        <v>120</v>
      </c>
    </row>
    <row r="21" spans="2:25" ht="30" x14ac:dyDescent="0.25">
      <c r="B21" s="91" t="s">
        <v>20</v>
      </c>
      <c r="C21" s="117" t="s">
        <v>59</v>
      </c>
      <c r="D21" s="117">
        <v>4</v>
      </c>
      <c r="E21" s="117">
        <v>8</v>
      </c>
      <c r="F21" s="117">
        <v>3</v>
      </c>
      <c r="G21" s="117">
        <v>2</v>
      </c>
      <c r="H21" s="117">
        <v>1</v>
      </c>
      <c r="I21" s="117" t="s">
        <v>59</v>
      </c>
      <c r="J21" s="117">
        <v>3</v>
      </c>
      <c r="K21" s="117" t="s">
        <v>59</v>
      </c>
      <c r="L21" s="117">
        <v>1</v>
      </c>
      <c r="M21" s="117">
        <v>7</v>
      </c>
      <c r="N21" s="117">
        <v>10</v>
      </c>
      <c r="O21" s="117">
        <v>4</v>
      </c>
      <c r="P21" s="117">
        <v>13</v>
      </c>
      <c r="Q21" s="117">
        <v>5</v>
      </c>
      <c r="R21" s="117">
        <v>11</v>
      </c>
      <c r="S21" s="117">
        <v>12</v>
      </c>
      <c r="T21" s="117">
        <v>3</v>
      </c>
      <c r="U21" s="117">
        <v>7</v>
      </c>
      <c r="V21" s="117">
        <v>3</v>
      </c>
      <c r="W21" s="117">
        <v>11</v>
      </c>
      <c r="X21" s="117" t="s">
        <v>59</v>
      </c>
      <c r="Y21" s="96">
        <f>SUM(Tabla42[[#This Row],[2002]:[2023]])</f>
        <v>108</v>
      </c>
    </row>
    <row r="22" spans="2:25" ht="120" x14ac:dyDescent="0.25">
      <c r="B22" s="91" t="s">
        <v>25</v>
      </c>
      <c r="C22" s="117" t="s">
        <v>59</v>
      </c>
      <c r="D22" s="117" t="s">
        <v>59</v>
      </c>
      <c r="E22" s="117" t="s">
        <v>59</v>
      </c>
      <c r="F22" s="117">
        <v>1</v>
      </c>
      <c r="G22" s="117">
        <v>18</v>
      </c>
      <c r="H22" s="117">
        <v>3</v>
      </c>
      <c r="I22" s="117">
        <v>3</v>
      </c>
      <c r="J22" s="117">
        <v>3</v>
      </c>
      <c r="K22" s="117">
        <v>12</v>
      </c>
      <c r="L22" s="117">
        <v>7</v>
      </c>
      <c r="M22" s="117" t="s">
        <v>59</v>
      </c>
      <c r="N22" s="117">
        <v>9</v>
      </c>
      <c r="O22" s="117">
        <v>4</v>
      </c>
      <c r="P22" s="117">
        <v>1</v>
      </c>
      <c r="Q22" s="117" t="s">
        <v>59</v>
      </c>
      <c r="R22" s="117">
        <v>1</v>
      </c>
      <c r="S22" s="117">
        <v>7</v>
      </c>
      <c r="T22" s="117">
        <v>15</v>
      </c>
      <c r="U22" s="117">
        <v>1</v>
      </c>
      <c r="V22" s="117">
        <v>9</v>
      </c>
      <c r="W22" s="117">
        <v>7</v>
      </c>
      <c r="X22" s="117">
        <v>1</v>
      </c>
      <c r="Y22" s="96">
        <f>SUM(Tabla42[[#This Row],[2002]:[2023]])</f>
        <v>102</v>
      </c>
    </row>
    <row r="23" spans="2:25" x14ac:dyDescent="0.25">
      <c r="B23" s="91" t="s">
        <v>22</v>
      </c>
      <c r="C23" s="117">
        <v>4</v>
      </c>
      <c r="D23" s="117">
        <v>1</v>
      </c>
      <c r="E23" s="117" t="s">
        <v>59</v>
      </c>
      <c r="F23" s="117" t="s">
        <v>59</v>
      </c>
      <c r="G23" s="117">
        <v>2</v>
      </c>
      <c r="H23" s="117">
        <v>7</v>
      </c>
      <c r="I23" s="117" t="s">
        <v>59</v>
      </c>
      <c r="J23" s="117" t="s">
        <v>59</v>
      </c>
      <c r="K23" s="117" t="s">
        <v>59</v>
      </c>
      <c r="L23" s="117">
        <v>1</v>
      </c>
      <c r="M23" s="117">
        <v>5</v>
      </c>
      <c r="N23" s="117" t="s">
        <v>59</v>
      </c>
      <c r="O23" s="117">
        <v>1</v>
      </c>
      <c r="P23" s="117" t="s">
        <v>59</v>
      </c>
      <c r="Q23" s="117" t="s">
        <v>59</v>
      </c>
      <c r="R23" s="117">
        <v>4</v>
      </c>
      <c r="S23" s="117">
        <v>1</v>
      </c>
      <c r="T23" s="117">
        <v>13</v>
      </c>
      <c r="U23" s="117">
        <v>12</v>
      </c>
      <c r="V23" s="117">
        <v>17</v>
      </c>
      <c r="W23" s="117">
        <v>14</v>
      </c>
      <c r="X23" s="117" t="s">
        <v>59</v>
      </c>
      <c r="Y23" s="96">
        <f>SUM(Tabla42[[#This Row],[2002]:[2023]])</f>
        <v>82</v>
      </c>
    </row>
    <row r="24" spans="2:25" ht="30" x14ac:dyDescent="0.25">
      <c r="B24" s="91" t="s">
        <v>23</v>
      </c>
      <c r="C24" s="117" t="s">
        <v>59</v>
      </c>
      <c r="D24" s="117" t="s">
        <v>59</v>
      </c>
      <c r="E24" s="117" t="s">
        <v>59</v>
      </c>
      <c r="F24" s="117" t="s">
        <v>59</v>
      </c>
      <c r="G24" s="117" t="s">
        <v>59</v>
      </c>
      <c r="H24" s="117" t="s">
        <v>59</v>
      </c>
      <c r="I24" s="117" t="s">
        <v>59</v>
      </c>
      <c r="J24" s="117" t="s">
        <v>59</v>
      </c>
      <c r="K24" s="117" t="s">
        <v>59</v>
      </c>
      <c r="L24" s="117" t="s">
        <v>59</v>
      </c>
      <c r="M24" s="117">
        <v>4</v>
      </c>
      <c r="N24" s="117">
        <v>2</v>
      </c>
      <c r="O24" s="117">
        <v>2</v>
      </c>
      <c r="P24" s="117" t="s">
        <v>59</v>
      </c>
      <c r="Q24" s="117">
        <v>1</v>
      </c>
      <c r="R24" s="117">
        <v>4</v>
      </c>
      <c r="S24" s="117">
        <v>9</v>
      </c>
      <c r="T24" s="117">
        <v>7</v>
      </c>
      <c r="U24" s="117">
        <v>17</v>
      </c>
      <c r="V24" s="117">
        <v>7</v>
      </c>
      <c r="W24" s="117">
        <v>28</v>
      </c>
      <c r="X24" s="117" t="s">
        <v>59</v>
      </c>
      <c r="Y24" s="96">
        <f>SUM(Tabla42[[#This Row],[2002]:[2023]])</f>
        <v>81</v>
      </c>
    </row>
    <row r="25" spans="2:25" ht="45" x14ac:dyDescent="0.25">
      <c r="B25" s="91" t="s">
        <v>17</v>
      </c>
      <c r="C25" s="117">
        <v>1</v>
      </c>
      <c r="D25" s="117" t="s">
        <v>59</v>
      </c>
      <c r="E25" s="117">
        <v>1</v>
      </c>
      <c r="F25" s="117">
        <v>1</v>
      </c>
      <c r="G25" s="117" t="s">
        <v>59</v>
      </c>
      <c r="H25" s="117">
        <v>4</v>
      </c>
      <c r="I25" s="117" t="s">
        <v>59</v>
      </c>
      <c r="J25" s="117">
        <v>7</v>
      </c>
      <c r="K25" s="117">
        <v>4</v>
      </c>
      <c r="L25" s="117" t="s">
        <v>59</v>
      </c>
      <c r="M25" s="117">
        <v>13</v>
      </c>
      <c r="N25" s="117">
        <v>6</v>
      </c>
      <c r="O25" s="117">
        <v>2</v>
      </c>
      <c r="P25" s="117">
        <v>7</v>
      </c>
      <c r="Q25" s="117">
        <v>7</v>
      </c>
      <c r="R25" s="117">
        <v>8</v>
      </c>
      <c r="S25" s="117">
        <v>5</v>
      </c>
      <c r="T25" s="117" t="s">
        <v>59</v>
      </c>
      <c r="U25" s="117" t="s">
        <v>59</v>
      </c>
      <c r="V25" s="117">
        <v>2</v>
      </c>
      <c r="W25" s="117">
        <v>3</v>
      </c>
      <c r="X25" s="117" t="s">
        <v>59</v>
      </c>
      <c r="Y25" s="96">
        <f>SUM(Tabla42[[#This Row],[2002]:[2023]])</f>
        <v>71</v>
      </c>
    </row>
    <row r="26" spans="2:25" x14ac:dyDescent="0.25">
      <c r="B26" s="91" t="s">
        <v>16</v>
      </c>
      <c r="C26" s="117">
        <v>12</v>
      </c>
      <c r="D26" s="117">
        <v>9</v>
      </c>
      <c r="E26" s="117">
        <v>2</v>
      </c>
      <c r="F26" s="117">
        <v>3</v>
      </c>
      <c r="G26" s="117">
        <v>4</v>
      </c>
      <c r="H26" s="117">
        <v>2</v>
      </c>
      <c r="I26" s="117" t="s">
        <v>59</v>
      </c>
      <c r="J26" s="117" t="s">
        <v>59</v>
      </c>
      <c r="K26" s="117">
        <v>1</v>
      </c>
      <c r="L26" s="117">
        <v>10</v>
      </c>
      <c r="M26" s="117" t="s">
        <v>59</v>
      </c>
      <c r="N26" s="117" t="s">
        <v>59</v>
      </c>
      <c r="O26" s="117">
        <v>1</v>
      </c>
      <c r="P26" s="117">
        <v>5</v>
      </c>
      <c r="Q26" s="117">
        <v>1</v>
      </c>
      <c r="R26" s="117">
        <v>6</v>
      </c>
      <c r="S26" s="117">
        <v>3</v>
      </c>
      <c r="T26" s="117" t="s">
        <v>59</v>
      </c>
      <c r="U26" s="117">
        <v>7</v>
      </c>
      <c r="V26" s="117" t="s">
        <v>59</v>
      </c>
      <c r="W26" s="117">
        <v>1</v>
      </c>
      <c r="X26" s="117">
        <v>2</v>
      </c>
      <c r="Y26" s="96">
        <f>SUM(Tabla42[[#This Row],[2002]:[2023]])</f>
        <v>69</v>
      </c>
    </row>
    <row r="27" spans="2:25" ht="60" x14ac:dyDescent="0.25">
      <c r="B27" s="91" t="s">
        <v>29</v>
      </c>
      <c r="C27" s="117" t="s">
        <v>59</v>
      </c>
      <c r="D27" s="117" t="s">
        <v>59</v>
      </c>
      <c r="E27" s="117">
        <v>1</v>
      </c>
      <c r="F27" s="117" t="s">
        <v>59</v>
      </c>
      <c r="G27" s="117">
        <v>1</v>
      </c>
      <c r="H27" s="117" t="s">
        <v>59</v>
      </c>
      <c r="I27" s="117">
        <v>1</v>
      </c>
      <c r="J27" s="117" t="s">
        <v>59</v>
      </c>
      <c r="K27" s="117" t="s">
        <v>59</v>
      </c>
      <c r="L27" s="117" t="s">
        <v>59</v>
      </c>
      <c r="M27" s="117">
        <v>1</v>
      </c>
      <c r="N27" s="117" t="s">
        <v>59</v>
      </c>
      <c r="O27" s="117">
        <v>3</v>
      </c>
      <c r="P27" s="117">
        <v>24</v>
      </c>
      <c r="Q27" s="117">
        <v>10</v>
      </c>
      <c r="R27" s="117">
        <v>5</v>
      </c>
      <c r="S27" s="117">
        <v>1</v>
      </c>
      <c r="T27" s="117">
        <v>1</v>
      </c>
      <c r="U27" s="117">
        <v>3</v>
      </c>
      <c r="V27" s="117">
        <v>1</v>
      </c>
      <c r="W27" s="117">
        <v>1</v>
      </c>
      <c r="X27" s="117" t="s">
        <v>59</v>
      </c>
      <c r="Y27" s="96">
        <f>SUM(Tabla42[[#This Row],[2002]:[2023]])</f>
        <v>53</v>
      </c>
    </row>
    <row r="28" spans="2:25" ht="30" x14ac:dyDescent="0.25">
      <c r="B28" s="91" t="s">
        <v>26</v>
      </c>
      <c r="C28" s="117" t="s">
        <v>59</v>
      </c>
      <c r="D28" s="117">
        <v>4</v>
      </c>
      <c r="E28" s="117">
        <v>7</v>
      </c>
      <c r="F28" s="117" t="s">
        <v>59</v>
      </c>
      <c r="G28" s="117" t="s">
        <v>59</v>
      </c>
      <c r="H28" s="117" t="s">
        <v>59</v>
      </c>
      <c r="I28" s="117" t="s">
        <v>59</v>
      </c>
      <c r="J28" s="117" t="s">
        <v>59</v>
      </c>
      <c r="K28" s="117" t="s">
        <v>59</v>
      </c>
      <c r="L28" s="117" t="s">
        <v>59</v>
      </c>
      <c r="M28" s="117" t="s">
        <v>59</v>
      </c>
      <c r="N28" s="117">
        <v>2</v>
      </c>
      <c r="O28" s="117">
        <v>3</v>
      </c>
      <c r="P28" s="117">
        <v>3</v>
      </c>
      <c r="Q28" s="117">
        <v>3</v>
      </c>
      <c r="R28" s="117" t="s">
        <v>59</v>
      </c>
      <c r="S28" s="117">
        <v>11</v>
      </c>
      <c r="T28" s="117" t="s">
        <v>59</v>
      </c>
      <c r="U28" s="117">
        <v>1</v>
      </c>
      <c r="V28" s="117">
        <v>4</v>
      </c>
      <c r="W28" s="117">
        <v>1</v>
      </c>
      <c r="X28" s="117" t="s">
        <v>59</v>
      </c>
      <c r="Y28" s="96">
        <f>SUM(Tabla42[[#This Row],[2002]:[2023]])</f>
        <v>39</v>
      </c>
    </row>
    <row r="29" spans="2:25" ht="45" x14ac:dyDescent="0.25">
      <c r="B29" s="91" t="s">
        <v>31</v>
      </c>
      <c r="C29" s="117" t="s">
        <v>59</v>
      </c>
      <c r="D29" s="117" t="s">
        <v>59</v>
      </c>
      <c r="E29" s="117">
        <v>1</v>
      </c>
      <c r="F29" s="117" t="s">
        <v>59</v>
      </c>
      <c r="G29" s="117">
        <v>2</v>
      </c>
      <c r="H29" s="117">
        <v>5</v>
      </c>
      <c r="I29" s="117" t="s">
        <v>59</v>
      </c>
      <c r="J29" s="117" t="s">
        <v>59</v>
      </c>
      <c r="K29" s="117" t="s">
        <v>59</v>
      </c>
      <c r="L29" s="117" t="s">
        <v>59</v>
      </c>
      <c r="M29" s="117" t="s">
        <v>59</v>
      </c>
      <c r="N29" s="117" t="s">
        <v>59</v>
      </c>
      <c r="O29" s="117" t="s">
        <v>59</v>
      </c>
      <c r="P29" s="117" t="s">
        <v>59</v>
      </c>
      <c r="Q29" s="117" t="s">
        <v>59</v>
      </c>
      <c r="R29" s="117">
        <v>7</v>
      </c>
      <c r="S29" s="117">
        <v>20</v>
      </c>
      <c r="T29" s="117">
        <v>1</v>
      </c>
      <c r="U29" s="117" t="s">
        <v>59</v>
      </c>
      <c r="V29" s="117" t="s">
        <v>59</v>
      </c>
      <c r="W29" s="117" t="s">
        <v>59</v>
      </c>
      <c r="X29" s="117" t="s">
        <v>59</v>
      </c>
      <c r="Y29" s="96">
        <f>SUM(Tabla42[[#This Row],[2002]:[2023]])</f>
        <v>36</v>
      </c>
    </row>
    <row r="30" spans="2:25" ht="45" x14ac:dyDescent="0.25">
      <c r="B30" s="91" t="s">
        <v>28</v>
      </c>
      <c r="C30" s="117" t="s">
        <v>59</v>
      </c>
      <c r="D30" s="117" t="s">
        <v>59</v>
      </c>
      <c r="E30" s="117" t="s">
        <v>59</v>
      </c>
      <c r="F30" s="117" t="s">
        <v>59</v>
      </c>
      <c r="G30" s="117" t="s">
        <v>59</v>
      </c>
      <c r="H30" s="117">
        <v>1</v>
      </c>
      <c r="I30" s="117" t="s">
        <v>59</v>
      </c>
      <c r="J30" s="117" t="s">
        <v>59</v>
      </c>
      <c r="K30" s="117">
        <v>1</v>
      </c>
      <c r="L30" s="117" t="s">
        <v>59</v>
      </c>
      <c r="M30" s="117" t="s">
        <v>59</v>
      </c>
      <c r="N30" s="117" t="s">
        <v>59</v>
      </c>
      <c r="O30" s="117" t="s">
        <v>59</v>
      </c>
      <c r="P30" s="117">
        <v>1</v>
      </c>
      <c r="Q30" s="117" t="s">
        <v>59</v>
      </c>
      <c r="R30" s="117" t="s">
        <v>59</v>
      </c>
      <c r="S30" s="117" t="s">
        <v>59</v>
      </c>
      <c r="T30" s="117">
        <v>8</v>
      </c>
      <c r="U30" s="117">
        <v>8</v>
      </c>
      <c r="V30" s="117">
        <v>6</v>
      </c>
      <c r="W30" s="117">
        <v>4</v>
      </c>
      <c r="X30" s="117" t="s">
        <v>59</v>
      </c>
      <c r="Y30" s="96">
        <f>SUM(Tabla42[[#This Row],[2002]:[2023]])</f>
        <v>29</v>
      </c>
    </row>
    <row r="31" spans="2:25" ht="60" x14ac:dyDescent="0.25">
      <c r="B31" s="91" t="s">
        <v>30</v>
      </c>
      <c r="C31" s="117" t="s">
        <v>59</v>
      </c>
      <c r="D31" s="117">
        <v>6</v>
      </c>
      <c r="E31" s="117" t="s">
        <v>59</v>
      </c>
      <c r="F31" s="117">
        <v>1</v>
      </c>
      <c r="G31" s="117">
        <v>1</v>
      </c>
      <c r="H31" s="117" t="s">
        <v>59</v>
      </c>
      <c r="I31" s="117">
        <v>3</v>
      </c>
      <c r="J31" s="117" t="s">
        <v>59</v>
      </c>
      <c r="K31" s="117" t="s">
        <v>59</v>
      </c>
      <c r="L31" s="117">
        <v>1</v>
      </c>
      <c r="M31" s="117">
        <v>3</v>
      </c>
      <c r="N31" s="117">
        <v>1</v>
      </c>
      <c r="O31" s="117" t="s">
        <v>59</v>
      </c>
      <c r="P31" s="117" t="s">
        <v>59</v>
      </c>
      <c r="Q31" s="117">
        <v>2</v>
      </c>
      <c r="R31" s="117">
        <v>2</v>
      </c>
      <c r="S31" s="117" t="s">
        <v>59</v>
      </c>
      <c r="T31" s="117">
        <v>3</v>
      </c>
      <c r="U31" s="117" t="s">
        <v>59</v>
      </c>
      <c r="V31" s="117" t="s">
        <v>59</v>
      </c>
      <c r="W31" s="117" t="s">
        <v>59</v>
      </c>
      <c r="X31" s="117" t="s">
        <v>59</v>
      </c>
      <c r="Y31" s="96">
        <f>SUM(Tabla42[[#This Row],[2002]:[2023]])</f>
        <v>23</v>
      </c>
    </row>
    <row r="32" spans="2:25" ht="45" x14ac:dyDescent="0.25">
      <c r="B32" s="91" t="s">
        <v>32</v>
      </c>
      <c r="C32" s="117" t="s">
        <v>59</v>
      </c>
      <c r="D32" s="117" t="s">
        <v>59</v>
      </c>
      <c r="E32" s="117" t="s">
        <v>59</v>
      </c>
      <c r="F32" s="117" t="s">
        <v>59</v>
      </c>
      <c r="G32" s="117" t="s">
        <v>59</v>
      </c>
      <c r="H32" s="117" t="s">
        <v>59</v>
      </c>
      <c r="I32" s="117" t="s">
        <v>59</v>
      </c>
      <c r="J32" s="117" t="s">
        <v>59</v>
      </c>
      <c r="K32" s="117" t="s">
        <v>59</v>
      </c>
      <c r="L32" s="117" t="s">
        <v>59</v>
      </c>
      <c r="M32" s="117">
        <v>1</v>
      </c>
      <c r="N32" s="117" t="s">
        <v>59</v>
      </c>
      <c r="O32" s="117" t="s">
        <v>59</v>
      </c>
      <c r="P32" s="117" t="s">
        <v>59</v>
      </c>
      <c r="Q32" s="117" t="s">
        <v>59</v>
      </c>
      <c r="R32" s="117" t="s">
        <v>59</v>
      </c>
      <c r="S32" s="117">
        <v>4</v>
      </c>
      <c r="T32" s="117" t="s">
        <v>59</v>
      </c>
      <c r="U32" s="117" t="s">
        <v>59</v>
      </c>
      <c r="V32" s="117" t="s">
        <v>59</v>
      </c>
      <c r="W32" s="117" t="s">
        <v>59</v>
      </c>
      <c r="X32" s="117" t="s">
        <v>59</v>
      </c>
      <c r="Y32" s="96">
        <f>SUM(Tabla42[[#This Row],[2002]:[2023]])</f>
        <v>5</v>
      </c>
    </row>
    <row r="33" spans="2:25" ht="30" x14ac:dyDescent="0.25">
      <c r="B33" s="91" t="s">
        <v>27</v>
      </c>
      <c r="C33" s="117" t="s">
        <v>59</v>
      </c>
      <c r="D33" s="117">
        <v>1</v>
      </c>
      <c r="E33" s="117" t="s">
        <v>59</v>
      </c>
      <c r="F33" s="117" t="s">
        <v>59</v>
      </c>
      <c r="G33" s="117" t="s">
        <v>59</v>
      </c>
      <c r="H33" s="117" t="s">
        <v>59</v>
      </c>
      <c r="I33" s="117" t="s">
        <v>59</v>
      </c>
      <c r="J33" s="117" t="s">
        <v>59</v>
      </c>
      <c r="K33" s="117" t="s">
        <v>59</v>
      </c>
      <c r="L33" s="117" t="s">
        <v>59</v>
      </c>
      <c r="M33" s="117" t="s">
        <v>59</v>
      </c>
      <c r="N33" s="117" t="s">
        <v>59</v>
      </c>
      <c r="O33" s="117" t="s">
        <v>59</v>
      </c>
      <c r="P33" s="117" t="s">
        <v>59</v>
      </c>
      <c r="Q33" s="117" t="s">
        <v>59</v>
      </c>
      <c r="R33" s="117" t="s">
        <v>59</v>
      </c>
      <c r="S33" s="117" t="s">
        <v>59</v>
      </c>
      <c r="T33" s="117" t="s">
        <v>59</v>
      </c>
      <c r="U33" s="117" t="s">
        <v>59</v>
      </c>
      <c r="V33" s="117" t="s">
        <v>59</v>
      </c>
      <c r="W33" s="117" t="s">
        <v>59</v>
      </c>
      <c r="X33" s="117" t="s">
        <v>59</v>
      </c>
      <c r="Y33" s="96">
        <f>SUM(Tabla42[[#This Row],[2002]:[2023]])</f>
        <v>1</v>
      </c>
    </row>
    <row r="34" spans="2:25" x14ac:dyDescent="0.25">
      <c r="B34" s="119" t="s">
        <v>35</v>
      </c>
      <c r="C34" s="105">
        <f>SUBTOTAL(109,Tabla42[2002])</f>
        <v>102</v>
      </c>
      <c r="D34" s="105">
        <f>SUBTOTAL(109,Tabla42[2003])</f>
        <v>192</v>
      </c>
      <c r="E34" s="105">
        <f>SUBTOTAL(109,Tabla42[2004])</f>
        <v>332</v>
      </c>
      <c r="F34" s="105">
        <f>SUBTOTAL(109,Tabla42[2005])</f>
        <v>285</v>
      </c>
      <c r="G34" s="105">
        <f>SUBTOTAL(109,Tabla42[2006])</f>
        <v>360</v>
      </c>
      <c r="H34" s="105">
        <f>SUBTOTAL(109,Tabla42[2007])</f>
        <v>1174</v>
      </c>
      <c r="I34" s="105">
        <f>SUBTOTAL(109,Tabla42[2008])</f>
        <v>1109</v>
      </c>
      <c r="J34" s="105">
        <f>SUBTOTAL(109,Tabla42[2009])</f>
        <v>996</v>
      </c>
      <c r="K34" s="105">
        <f>SUBTOTAL(109,Tabla42[2010])</f>
        <v>1337</v>
      </c>
      <c r="L34" s="105">
        <f>SUBTOTAL(109,Tabla42[2011])</f>
        <v>1239</v>
      </c>
      <c r="M34" s="105">
        <f>SUBTOTAL(109,Tabla42[2012])</f>
        <v>1910</v>
      </c>
      <c r="N34" s="105">
        <f>SUBTOTAL(109,Tabla42[2013])</f>
        <v>2033</v>
      </c>
      <c r="O34" s="105">
        <f>SUBTOTAL(109,Tabla42[2014])</f>
        <v>2226</v>
      </c>
      <c r="P34" s="105">
        <f>SUBTOTAL(109,Tabla42[2015])</f>
        <v>2782</v>
      </c>
      <c r="Q34" s="105">
        <f>SUBTOTAL(109,Tabla42[2016])</f>
        <v>2810</v>
      </c>
      <c r="R34" s="105">
        <f>SUBTOTAL(109,Tabla42[2017])</f>
        <v>2058</v>
      </c>
      <c r="S34" s="105">
        <f>SUBTOTAL(109,Tabla42[2018])</f>
        <v>2550</v>
      </c>
      <c r="T34" s="105">
        <f>SUBTOTAL(109,Tabla42[2019])</f>
        <v>1508</v>
      </c>
      <c r="U34" s="105">
        <f>SUBTOTAL(109,Tabla42[2020])</f>
        <v>1333</v>
      </c>
      <c r="V34" s="105">
        <f>SUBTOTAL(109,Tabla42[2021])</f>
        <v>1429</v>
      </c>
      <c r="W34" s="105">
        <f>SUBTOTAL(109,Tabla42[2022])</f>
        <v>1630</v>
      </c>
      <c r="X34" s="105">
        <f>SUBTOTAL(109,Tabla42[2023])</f>
        <v>112</v>
      </c>
      <c r="Y34" s="96">
        <f>SUM(Tabla42[[#Totals],[2002]:[2023]])</f>
        <v>29507</v>
      </c>
    </row>
  </sheetData>
  <mergeCells count="3">
    <mergeCell ref="B3:B4"/>
    <mergeCell ref="C3:X3"/>
    <mergeCell ref="Y3:Y4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A0FC-9760-49C5-982C-BB78BD5A4837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E15D-5D3E-455A-B516-030A5560D9D6}">
  <dimension ref="B3:F26"/>
  <sheetViews>
    <sheetView workbookViewId="0">
      <selection activeCell="H21" sqref="H21"/>
    </sheetView>
  </sheetViews>
  <sheetFormatPr baseColWidth="10" defaultRowHeight="15" x14ac:dyDescent="0.25"/>
  <cols>
    <col min="3" max="3" width="14.28515625" customWidth="1"/>
    <col min="4" max="4" width="14" customWidth="1"/>
  </cols>
  <sheetData>
    <row r="3" spans="2:6" ht="60" x14ac:dyDescent="0.25">
      <c r="B3" s="32" t="s">
        <v>61</v>
      </c>
      <c r="C3" s="33" t="s">
        <v>79</v>
      </c>
      <c r="D3" s="33" t="s">
        <v>80</v>
      </c>
      <c r="E3" s="33" t="s">
        <v>81</v>
      </c>
      <c r="F3" s="34" t="s">
        <v>35</v>
      </c>
    </row>
    <row r="4" spans="2:6" x14ac:dyDescent="0.25">
      <c r="B4" s="10">
        <v>2002</v>
      </c>
      <c r="C4" s="37">
        <v>0</v>
      </c>
      <c r="D4" s="39">
        <v>0</v>
      </c>
      <c r="E4" s="36">
        <v>7</v>
      </c>
      <c r="F4" s="99">
        <f>SUM(Tabla32[[#This Row],[En proceso 
de Notificación]:[Concluidas]])</f>
        <v>7</v>
      </c>
    </row>
    <row r="5" spans="2:6" x14ac:dyDescent="0.25">
      <c r="B5" s="10">
        <v>2003</v>
      </c>
      <c r="C5" s="37">
        <v>0</v>
      </c>
      <c r="D5" s="39">
        <v>0</v>
      </c>
      <c r="E5" s="36">
        <v>40</v>
      </c>
      <c r="F5" s="99">
        <f>SUM(Tabla32[[#This Row],[En proceso 
de Notificación]:[Concluidas]])</f>
        <v>40</v>
      </c>
    </row>
    <row r="6" spans="2:6" x14ac:dyDescent="0.25">
      <c r="B6" s="10">
        <v>2004</v>
      </c>
      <c r="C6" s="37">
        <v>0</v>
      </c>
      <c r="D6" s="39">
        <v>0</v>
      </c>
      <c r="E6" s="36">
        <v>349</v>
      </c>
      <c r="F6" s="99">
        <f>SUM(Tabla32[[#This Row],[En proceso 
de Notificación]:[Concluidas]])</f>
        <v>349</v>
      </c>
    </row>
    <row r="7" spans="2:6" x14ac:dyDescent="0.25">
      <c r="B7" s="10">
        <v>2005</v>
      </c>
      <c r="C7" s="37">
        <v>0</v>
      </c>
      <c r="D7" s="39">
        <v>0</v>
      </c>
      <c r="E7" s="36">
        <v>461</v>
      </c>
      <c r="F7" s="99">
        <f>SUM(Tabla32[[#This Row],[En proceso 
de Notificación]:[Concluidas]])</f>
        <v>461</v>
      </c>
    </row>
    <row r="8" spans="2:6" x14ac:dyDescent="0.25">
      <c r="B8" s="10">
        <v>2006</v>
      </c>
      <c r="C8" s="37">
        <v>0</v>
      </c>
      <c r="D8" s="39">
        <v>0</v>
      </c>
      <c r="E8" s="36">
        <v>563</v>
      </c>
      <c r="F8" s="99">
        <f>SUM(Tabla32[[#This Row],[En proceso 
de Notificación]:[Concluidas]])</f>
        <v>563</v>
      </c>
    </row>
    <row r="9" spans="2:6" x14ac:dyDescent="0.25">
      <c r="B9" s="10">
        <v>2007</v>
      </c>
      <c r="C9" s="37">
        <v>0</v>
      </c>
      <c r="D9" s="39">
        <v>0</v>
      </c>
      <c r="E9" s="36">
        <v>1631</v>
      </c>
      <c r="F9" s="99">
        <f>SUM(Tabla32[[#This Row],[En proceso 
de Notificación]:[Concluidas]])</f>
        <v>1631</v>
      </c>
    </row>
    <row r="10" spans="2:6" x14ac:dyDescent="0.25">
      <c r="B10" s="10">
        <v>2008</v>
      </c>
      <c r="C10" s="37">
        <v>0</v>
      </c>
      <c r="D10" s="39">
        <v>0</v>
      </c>
      <c r="E10" s="36">
        <v>1116</v>
      </c>
      <c r="F10" s="99">
        <f>SUM(Tabla32[[#This Row],[En proceso 
de Notificación]:[Concluidas]])</f>
        <v>1116</v>
      </c>
    </row>
    <row r="11" spans="2:6" x14ac:dyDescent="0.25">
      <c r="B11" s="10">
        <v>2009</v>
      </c>
      <c r="C11" s="37">
        <v>0</v>
      </c>
      <c r="D11" s="39">
        <v>0</v>
      </c>
      <c r="E11" s="36">
        <v>1385</v>
      </c>
      <c r="F11" s="99">
        <f>SUM(Tabla32[[#This Row],[En proceso 
de Notificación]:[Concluidas]])</f>
        <v>1385</v>
      </c>
    </row>
    <row r="12" spans="2:6" x14ac:dyDescent="0.25">
      <c r="B12" s="10">
        <v>2010</v>
      </c>
      <c r="C12" s="37">
        <v>0</v>
      </c>
      <c r="D12" s="39">
        <v>0</v>
      </c>
      <c r="E12" s="36">
        <v>1911</v>
      </c>
      <c r="F12" s="99">
        <f>SUM(Tabla32[[#This Row],[En proceso 
de Notificación]:[Concluidas]])</f>
        <v>1911</v>
      </c>
    </row>
    <row r="13" spans="2:6" x14ac:dyDescent="0.25">
      <c r="B13" s="10">
        <v>2011</v>
      </c>
      <c r="C13" s="37">
        <v>0</v>
      </c>
      <c r="D13" s="39">
        <v>0</v>
      </c>
      <c r="E13" s="36">
        <v>1652</v>
      </c>
      <c r="F13" s="99">
        <f>SUM(Tabla32[[#This Row],[En proceso 
de Notificación]:[Concluidas]])</f>
        <v>1652</v>
      </c>
    </row>
    <row r="14" spans="2:6" x14ac:dyDescent="0.25">
      <c r="B14" s="10">
        <v>2012</v>
      </c>
      <c r="C14" s="37">
        <v>0</v>
      </c>
      <c r="D14" s="39">
        <v>0</v>
      </c>
      <c r="E14" s="36">
        <v>1819</v>
      </c>
      <c r="F14" s="99">
        <f>SUM(Tabla32[[#This Row],[En proceso 
de Notificación]:[Concluidas]])</f>
        <v>1819</v>
      </c>
    </row>
    <row r="15" spans="2:6" x14ac:dyDescent="0.25">
      <c r="B15" s="10">
        <v>2013</v>
      </c>
      <c r="C15" s="37">
        <v>0</v>
      </c>
      <c r="D15" s="39">
        <v>0</v>
      </c>
      <c r="E15" s="36">
        <v>1361</v>
      </c>
      <c r="F15" s="99">
        <f>SUM(Tabla32[[#This Row],[En proceso 
de Notificación]:[Concluidas]])</f>
        <v>1361</v>
      </c>
    </row>
    <row r="16" spans="2:6" x14ac:dyDescent="0.25">
      <c r="B16" s="10">
        <v>2014</v>
      </c>
      <c r="C16" s="37">
        <v>0</v>
      </c>
      <c r="D16" s="39">
        <v>0</v>
      </c>
      <c r="E16" s="36">
        <v>2134</v>
      </c>
      <c r="F16" s="99">
        <f>SUM(Tabla32[[#This Row],[En proceso 
de Notificación]:[Concluidas]])</f>
        <v>2134</v>
      </c>
    </row>
    <row r="17" spans="2:6" x14ac:dyDescent="0.25">
      <c r="B17" s="10">
        <v>2015</v>
      </c>
      <c r="C17" s="37">
        <v>0</v>
      </c>
      <c r="D17" s="39">
        <v>0</v>
      </c>
      <c r="E17" s="36">
        <v>2715</v>
      </c>
      <c r="F17" s="99">
        <f>SUM(Tabla32[[#This Row],[En proceso 
de Notificación]:[Concluidas]])</f>
        <v>2715</v>
      </c>
    </row>
    <row r="18" spans="2:6" x14ac:dyDescent="0.25">
      <c r="B18" s="10">
        <v>2016</v>
      </c>
      <c r="C18" s="37">
        <v>0</v>
      </c>
      <c r="D18" s="39">
        <v>0</v>
      </c>
      <c r="E18" s="36">
        <v>2560</v>
      </c>
      <c r="F18" s="99">
        <f>SUM(Tabla32[[#This Row],[En proceso 
de Notificación]:[Concluidas]])</f>
        <v>2560</v>
      </c>
    </row>
    <row r="19" spans="2:6" x14ac:dyDescent="0.25">
      <c r="B19" s="10">
        <v>2017</v>
      </c>
      <c r="C19" s="37">
        <v>0</v>
      </c>
      <c r="D19" s="39">
        <v>0</v>
      </c>
      <c r="E19" s="36">
        <v>2792</v>
      </c>
      <c r="F19" s="99">
        <f>SUM(Tabla32[[#This Row],[En proceso 
de Notificación]:[Concluidas]])</f>
        <v>2792</v>
      </c>
    </row>
    <row r="20" spans="2:6" x14ac:dyDescent="0.25">
      <c r="B20" s="10">
        <v>2018</v>
      </c>
      <c r="C20" s="37">
        <v>0</v>
      </c>
      <c r="D20" s="39">
        <v>0</v>
      </c>
      <c r="E20" s="36">
        <v>2462</v>
      </c>
      <c r="F20" s="99">
        <f>SUM(Tabla32[[#This Row],[En proceso 
de Notificación]:[Concluidas]])</f>
        <v>2462</v>
      </c>
    </row>
    <row r="21" spans="2:6" x14ac:dyDescent="0.25">
      <c r="B21" s="10">
        <v>2019</v>
      </c>
      <c r="C21" s="37">
        <v>0</v>
      </c>
      <c r="D21" s="39">
        <v>0</v>
      </c>
      <c r="E21" s="36">
        <v>1587</v>
      </c>
      <c r="F21" s="99">
        <f>SUM(Tabla32[[#This Row],[En proceso 
de Notificación]:[Concluidas]])</f>
        <v>1587</v>
      </c>
    </row>
    <row r="22" spans="2:6" x14ac:dyDescent="0.25">
      <c r="B22" s="10">
        <v>2020</v>
      </c>
      <c r="C22" s="37">
        <v>0</v>
      </c>
      <c r="D22" s="39">
        <v>0</v>
      </c>
      <c r="E22" s="36">
        <v>1484</v>
      </c>
      <c r="F22" s="99">
        <f>SUM(Tabla32[[#This Row],[En proceso 
de Notificación]:[Concluidas]])</f>
        <v>1484</v>
      </c>
    </row>
    <row r="23" spans="2:6" x14ac:dyDescent="0.25">
      <c r="B23" s="10">
        <v>2021</v>
      </c>
      <c r="C23" s="37">
        <v>0</v>
      </c>
      <c r="D23" s="39">
        <v>0</v>
      </c>
      <c r="E23" s="36">
        <v>1564</v>
      </c>
      <c r="F23" s="99">
        <f>SUM(Tabla32[[#This Row],[En proceso 
de Notificación]:[Concluidas]])</f>
        <v>1564</v>
      </c>
    </row>
    <row r="24" spans="2:6" x14ac:dyDescent="0.25">
      <c r="B24" s="10">
        <v>2022</v>
      </c>
      <c r="C24" s="120">
        <v>0</v>
      </c>
      <c r="D24" s="39">
        <v>0</v>
      </c>
      <c r="E24" s="100">
        <v>1730</v>
      </c>
      <c r="F24" s="99">
        <f>SUM(Tabla32[[#This Row],[En proceso 
de Notificación]:[Concluidas]])</f>
        <v>1730</v>
      </c>
    </row>
    <row r="25" spans="2:6" x14ac:dyDescent="0.25">
      <c r="B25" s="10">
        <v>2023</v>
      </c>
      <c r="C25" s="120">
        <v>0</v>
      </c>
      <c r="D25" s="39">
        <v>0</v>
      </c>
      <c r="E25" s="100">
        <v>94</v>
      </c>
      <c r="F25" s="99">
        <f>SUM(Tabla32[[#This Row],[En proceso 
de Notificación]:[Concluidas]])</f>
        <v>94</v>
      </c>
    </row>
    <row r="26" spans="2:6" x14ac:dyDescent="0.25">
      <c r="B26" s="81" t="s">
        <v>35</v>
      </c>
      <c r="C26" s="49">
        <f>SUBTOTAL(109,C4:C24)</f>
        <v>0</v>
      </c>
      <c r="D26" s="107">
        <f>SUBTOTAL(109,D4:D24)</f>
        <v>0</v>
      </c>
      <c r="E26" s="48">
        <f>SUBTOTAL(109,E4:E25)</f>
        <v>31417</v>
      </c>
      <c r="F26" s="99">
        <f>SUBTOTAL(109,F4:F25)</f>
        <v>31417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67D2-A483-4C4B-B8DA-98D09AC6730C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15F4-A4CF-411C-8731-EB89B292393D}">
  <dimension ref="B2:E34"/>
  <sheetViews>
    <sheetView workbookViewId="0">
      <selection activeCell="D3" sqref="D3"/>
    </sheetView>
  </sheetViews>
  <sheetFormatPr baseColWidth="10" defaultRowHeight="15" x14ac:dyDescent="0.25"/>
  <cols>
    <col min="2" max="2" width="35.5703125" customWidth="1"/>
    <col min="3" max="3" width="12" bestFit="1" customWidth="1"/>
    <col min="4" max="4" width="12.85546875" bestFit="1" customWidth="1"/>
    <col min="5" max="5" width="25.28515625" bestFit="1" customWidth="1"/>
  </cols>
  <sheetData>
    <row r="2" spans="2:5" x14ac:dyDescent="0.25">
      <c r="B2" s="3" t="s">
        <v>0</v>
      </c>
      <c r="C2" s="4" t="s">
        <v>1</v>
      </c>
      <c r="D2" s="4" t="s">
        <v>2</v>
      </c>
      <c r="E2" s="5" t="s">
        <v>3</v>
      </c>
    </row>
    <row r="3" spans="2:5" ht="75" x14ac:dyDescent="0.25">
      <c r="B3" s="6" t="s">
        <v>4</v>
      </c>
      <c r="C3" s="7">
        <v>16410</v>
      </c>
      <c r="D3" s="8">
        <v>0.62509523083955509</v>
      </c>
      <c r="E3" s="9">
        <v>0.62509523083955509</v>
      </c>
    </row>
    <row r="4" spans="2:5" ht="45" x14ac:dyDescent="0.25">
      <c r="B4" s="6" t="s">
        <v>5</v>
      </c>
      <c r="C4" s="7">
        <v>1426</v>
      </c>
      <c r="D4" s="8">
        <v>5.43196708822185E-2</v>
      </c>
      <c r="E4" s="9">
        <v>0.67941490172177355</v>
      </c>
    </row>
    <row r="5" spans="2:5" ht="60" x14ac:dyDescent="0.25">
      <c r="B5" s="6" t="s">
        <v>6</v>
      </c>
      <c r="C5" s="7">
        <v>1391</v>
      </c>
      <c r="D5" s="8">
        <v>5.2986439128447353E-2</v>
      </c>
      <c r="E5" s="9">
        <v>0.73240134085022091</v>
      </c>
    </row>
    <row r="6" spans="2:5" ht="90" x14ac:dyDescent="0.25">
      <c r="B6" s="6" t="s">
        <v>7</v>
      </c>
      <c r="C6" s="7">
        <v>967</v>
      </c>
      <c r="D6" s="8">
        <v>3.6835288739905533E-2</v>
      </c>
      <c r="E6" s="9">
        <v>0.7692366295901264</v>
      </c>
    </row>
    <row r="7" spans="2:5" ht="105" x14ac:dyDescent="0.25">
      <c r="B7" s="6" t="s">
        <v>8</v>
      </c>
      <c r="C7" s="7">
        <v>784</v>
      </c>
      <c r="D7" s="8">
        <v>2.9864391284473563E-2</v>
      </c>
      <c r="E7" s="9">
        <v>0.7991010208746</v>
      </c>
    </row>
    <row r="8" spans="2:5" ht="30" x14ac:dyDescent="0.25">
      <c r="B8" s="6" t="s">
        <v>9</v>
      </c>
      <c r="C8" s="7">
        <v>611</v>
      </c>
      <c r="D8" s="8">
        <v>2.3274417187261923E-2</v>
      </c>
      <c r="E8" s="9">
        <v>0.82237543806186197</v>
      </c>
    </row>
    <row r="9" spans="2:5" ht="90" x14ac:dyDescent="0.25">
      <c r="B9" s="6" t="s">
        <v>10</v>
      </c>
      <c r="C9" s="7">
        <v>596</v>
      </c>
      <c r="D9" s="8">
        <v>2.2703032149931433E-2</v>
      </c>
      <c r="E9" s="9">
        <v>0.84507847021179339</v>
      </c>
    </row>
    <row r="10" spans="2:5" x14ac:dyDescent="0.25">
      <c r="B10" s="6" t="s">
        <v>11</v>
      </c>
      <c r="C10" s="7">
        <v>510</v>
      </c>
      <c r="D10" s="8">
        <v>1.9427831320711592E-2</v>
      </c>
      <c r="E10" s="9">
        <v>0.86454365381685205</v>
      </c>
    </row>
    <row r="11" spans="2:5" ht="90" x14ac:dyDescent="0.25">
      <c r="B11" s="6" t="s">
        <v>12</v>
      </c>
      <c r="C11" s="7">
        <v>446</v>
      </c>
      <c r="D11" s="8">
        <v>1.6989181776626543E-2</v>
      </c>
      <c r="E11" s="9">
        <v>0.88153283559347861</v>
      </c>
    </row>
    <row r="12" spans="2:5" ht="60" x14ac:dyDescent="0.25">
      <c r="B12" s="6" t="s">
        <v>13</v>
      </c>
      <c r="C12" s="7">
        <v>434</v>
      </c>
      <c r="D12" s="8">
        <v>1.653207374676215E-2</v>
      </c>
      <c r="E12" s="9">
        <v>0.89806490934024075</v>
      </c>
    </row>
    <row r="13" spans="2:5" x14ac:dyDescent="0.25">
      <c r="B13" s="6" t="s">
        <v>14</v>
      </c>
      <c r="C13" s="7">
        <v>324</v>
      </c>
      <c r="D13" s="8">
        <v>1.2341916806338565E-2</v>
      </c>
      <c r="E13" s="9">
        <v>0.91040682614657931</v>
      </c>
    </row>
    <row r="14" spans="2:5" x14ac:dyDescent="0.25">
      <c r="B14" s="6" t="s">
        <v>15</v>
      </c>
      <c r="C14" s="7">
        <v>244</v>
      </c>
      <c r="D14" s="8">
        <v>9.2945299405759567E-3</v>
      </c>
      <c r="E14" s="9">
        <v>0.91970135608715531</v>
      </c>
    </row>
    <row r="15" spans="2:5" x14ac:dyDescent="0.25">
      <c r="B15" s="6" t="s">
        <v>16</v>
      </c>
      <c r="C15" s="7">
        <v>233</v>
      </c>
      <c r="D15" s="8">
        <v>8.8755142465335966E-3</v>
      </c>
      <c r="E15" s="9">
        <v>0.92857687033368885</v>
      </c>
    </row>
    <row r="16" spans="2:5" ht="45" x14ac:dyDescent="0.25">
      <c r="B16" s="6" t="s">
        <v>17</v>
      </c>
      <c r="C16" s="7">
        <v>199</v>
      </c>
      <c r="D16" s="8">
        <v>7.5803748285844892E-3</v>
      </c>
      <c r="E16" s="9">
        <v>0.93615724516227339</v>
      </c>
    </row>
    <row r="17" spans="2:5" x14ac:dyDescent="0.25">
      <c r="B17" s="6" t="s">
        <v>18</v>
      </c>
      <c r="C17" s="7">
        <v>193</v>
      </c>
      <c r="D17" s="8">
        <v>7.3518208136522933E-3</v>
      </c>
      <c r="E17" s="9">
        <v>0.94350906597592565</v>
      </c>
    </row>
    <row r="18" spans="2:5" ht="90" x14ac:dyDescent="0.25">
      <c r="B18" s="6" t="s">
        <v>19</v>
      </c>
      <c r="C18" s="7">
        <v>186</v>
      </c>
      <c r="D18" s="8">
        <v>7.085174462898065E-3</v>
      </c>
      <c r="E18" s="9">
        <v>0.95059424043882368</v>
      </c>
    </row>
    <row r="19" spans="2:5" ht="30" x14ac:dyDescent="0.25">
      <c r="B19" s="6" t="s">
        <v>20</v>
      </c>
      <c r="C19" s="7">
        <v>160</v>
      </c>
      <c r="D19" s="8">
        <v>6.0947737315252175E-3</v>
      </c>
      <c r="E19" s="9">
        <v>0.95668901417034891</v>
      </c>
    </row>
    <row r="20" spans="2:5" ht="90" x14ac:dyDescent="0.25">
      <c r="B20" s="6" t="s">
        <v>21</v>
      </c>
      <c r="C20" s="7">
        <v>154</v>
      </c>
      <c r="D20" s="8">
        <v>5.8662197165930217E-3</v>
      </c>
      <c r="E20" s="9">
        <v>0.96255523388694197</v>
      </c>
    </row>
    <row r="21" spans="2:5" x14ac:dyDescent="0.25">
      <c r="B21" s="6" t="s">
        <v>22</v>
      </c>
      <c r="C21" s="7">
        <v>150</v>
      </c>
      <c r="D21" s="8">
        <v>5.7138503733048908E-3</v>
      </c>
      <c r="E21" s="9">
        <v>0.96826908426024683</v>
      </c>
    </row>
    <row r="22" spans="2:5" ht="30" x14ac:dyDescent="0.25">
      <c r="B22" s="6" t="s">
        <v>23</v>
      </c>
      <c r="C22" s="7">
        <v>145</v>
      </c>
      <c r="D22" s="8">
        <v>5.5233886941947283E-3</v>
      </c>
      <c r="E22" s="9">
        <v>0.9737924729544416</v>
      </c>
    </row>
    <row r="23" spans="2:5" x14ac:dyDescent="0.25">
      <c r="B23" s="6" t="s">
        <v>24</v>
      </c>
      <c r="C23" s="7">
        <v>111</v>
      </c>
      <c r="D23" s="8">
        <v>4.2282492762456192E-3</v>
      </c>
      <c r="E23" s="9">
        <v>0.97802072223068726</v>
      </c>
    </row>
    <row r="24" spans="2:5" ht="120" x14ac:dyDescent="0.25">
      <c r="B24" s="6" t="s">
        <v>25</v>
      </c>
      <c r="C24" s="7">
        <v>100</v>
      </c>
      <c r="D24" s="8">
        <v>3.8092335822032608E-3</v>
      </c>
      <c r="E24" s="9">
        <v>0.98182995581289056</v>
      </c>
    </row>
    <row r="25" spans="2:5" ht="30" x14ac:dyDescent="0.25">
      <c r="B25" s="6" t="s">
        <v>26</v>
      </c>
      <c r="C25" s="7">
        <v>93</v>
      </c>
      <c r="D25" s="8">
        <v>3.5425872314490325E-3</v>
      </c>
      <c r="E25" s="9">
        <v>0.98537254304433963</v>
      </c>
    </row>
    <row r="26" spans="2:5" ht="30" x14ac:dyDescent="0.25">
      <c r="B26" s="6" t="s">
        <v>27</v>
      </c>
      <c r="C26" s="7">
        <v>83</v>
      </c>
      <c r="D26" s="8">
        <v>3.1616638732287062E-3</v>
      </c>
      <c r="E26" s="9">
        <v>0.98853420691756833</v>
      </c>
    </row>
    <row r="27" spans="2:5" ht="45" x14ac:dyDescent="0.25">
      <c r="B27" s="6" t="s">
        <v>28</v>
      </c>
      <c r="C27" s="7">
        <v>75</v>
      </c>
      <c r="D27" s="8">
        <v>2.8569251866524454E-3</v>
      </c>
      <c r="E27" s="9">
        <v>0.99139113210422081</v>
      </c>
    </row>
    <row r="28" spans="2:5" ht="60" x14ac:dyDescent="0.25">
      <c r="B28" s="6" t="s">
        <v>29</v>
      </c>
      <c r="C28" s="7">
        <v>75</v>
      </c>
      <c r="D28" s="8">
        <v>2.8569251866524454E-3</v>
      </c>
      <c r="E28" s="9">
        <v>0.99424805729087329</v>
      </c>
    </row>
    <row r="29" spans="2:5" ht="60" x14ac:dyDescent="0.25">
      <c r="B29" s="6" t="s">
        <v>30</v>
      </c>
      <c r="C29" s="7">
        <v>65</v>
      </c>
      <c r="D29" s="8">
        <v>2.4760018284321196E-3</v>
      </c>
      <c r="E29" s="9">
        <v>0.99672405911930539</v>
      </c>
    </row>
    <row r="30" spans="2:5" ht="45" x14ac:dyDescent="0.25">
      <c r="B30" s="6" t="s">
        <v>31</v>
      </c>
      <c r="C30" s="7">
        <v>60</v>
      </c>
      <c r="D30" s="8">
        <v>2.2855401493219562E-3</v>
      </c>
      <c r="E30" s="9">
        <v>0.99900959926862731</v>
      </c>
    </row>
    <row r="31" spans="2:5" ht="45" x14ac:dyDescent="0.25">
      <c r="B31" s="6" t="s">
        <v>32</v>
      </c>
      <c r="C31" s="7">
        <v>19</v>
      </c>
      <c r="D31" s="8">
        <v>7.2375438061861959E-4</v>
      </c>
      <c r="E31" s="9">
        <v>0.99973335364924598</v>
      </c>
    </row>
    <row r="32" spans="2:5" ht="90" x14ac:dyDescent="0.25">
      <c r="B32" s="6" t="s">
        <v>33</v>
      </c>
      <c r="C32" s="7">
        <v>6</v>
      </c>
      <c r="D32" s="8">
        <v>2.2855401493219565E-4</v>
      </c>
      <c r="E32" s="9">
        <v>0.99996190766417814</v>
      </c>
    </row>
    <row r="33" spans="2:5" ht="60" x14ac:dyDescent="0.25">
      <c r="B33" s="6" t="s">
        <v>34</v>
      </c>
      <c r="C33" s="7">
        <v>1</v>
      </c>
      <c r="D33" s="8">
        <v>3.8092335822032604E-5</v>
      </c>
      <c r="E33" s="9">
        <v>1</v>
      </c>
    </row>
    <row r="34" spans="2:5" x14ac:dyDescent="0.25">
      <c r="B34" s="10" t="s">
        <v>35</v>
      </c>
      <c r="C34" s="1">
        <f>SUBTOTAL(109,C3:C33)</f>
        <v>26251</v>
      </c>
      <c r="D34" s="2">
        <f>SUBTOTAL(109,D3:D33)</f>
        <v>0.99996264771565313</v>
      </c>
      <c r="E34" s="11">
        <v>1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31C-3E4F-477B-84C0-978F1781CCE9}">
  <dimension ref="A3:E19"/>
  <sheetViews>
    <sheetView workbookViewId="0">
      <selection activeCell="F25" sqref="F25"/>
    </sheetView>
  </sheetViews>
  <sheetFormatPr baseColWidth="10" defaultRowHeight="15" x14ac:dyDescent="0.25"/>
  <cols>
    <col min="2" max="2" width="13.7109375" customWidth="1"/>
    <col min="3" max="3" width="13.42578125" customWidth="1"/>
  </cols>
  <sheetData>
    <row r="3" spans="1:5" ht="60" x14ac:dyDescent="0.25">
      <c r="A3" s="32" t="s">
        <v>61</v>
      </c>
      <c r="B3" s="33" t="s">
        <v>79</v>
      </c>
      <c r="C3" s="33" t="s">
        <v>80</v>
      </c>
      <c r="D3" s="33" t="s">
        <v>81</v>
      </c>
      <c r="E3" s="34" t="s">
        <v>35</v>
      </c>
    </row>
    <row r="4" spans="1:5" x14ac:dyDescent="0.25">
      <c r="A4" s="10">
        <v>2002</v>
      </c>
      <c r="B4" s="39">
        <v>0</v>
      </c>
      <c r="C4" s="37">
        <v>0</v>
      </c>
      <c r="D4" s="36">
        <v>14</v>
      </c>
      <c r="E4" s="99">
        <f>SUM(Tabla35[[#This Row],[En proceso 
de Notificación]:[Concluidas]])</f>
        <v>14</v>
      </c>
    </row>
    <row r="5" spans="1:5" x14ac:dyDescent="0.25">
      <c r="A5" s="10">
        <v>2003</v>
      </c>
      <c r="B5" s="39">
        <v>0</v>
      </c>
      <c r="C5" s="37">
        <v>1</v>
      </c>
      <c r="D5" s="36">
        <v>33</v>
      </c>
      <c r="E5" s="99">
        <f>SUM(Tabla35[[#This Row],[En proceso 
de Notificación]:[Concluidas]])</f>
        <v>34</v>
      </c>
    </row>
    <row r="6" spans="1:5" x14ac:dyDescent="0.25">
      <c r="A6" s="10">
        <v>2004</v>
      </c>
      <c r="B6" s="39">
        <v>0</v>
      </c>
      <c r="C6" s="37">
        <v>1</v>
      </c>
      <c r="D6" s="36">
        <v>69</v>
      </c>
      <c r="E6" s="99">
        <f>SUM(Tabla35[[#This Row],[En proceso 
de Notificación]:[Concluidas]])</f>
        <v>70</v>
      </c>
    </row>
    <row r="7" spans="1:5" x14ac:dyDescent="0.25">
      <c r="A7" s="10">
        <v>2005</v>
      </c>
      <c r="B7" s="39">
        <v>0</v>
      </c>
      <c r="C7" s="37">
        <v>1</v>
      </c>
      <c r="D7" s="36">
        <v>61</v>
      </c>
      <c r="E7" s="99">
        <f>SUM(Tabla35[[#This Row],[En proceso 
de Notificación]:[Concluidas]])</f>
        <v>62</v>
      </c>
    </row>
    <row r="8" spans="1:5" x14ac:dyDescent="0.25">
      <c r="A8" s="10">
        <v>2006</v>
      </c>
      <c r="B8" s="39">
        <v>0</v>
      </c>
      <c r="C8" s="37">
        <v>4</v>
      </c>
      <c r="D8" s="36">
        <v>81</v>
      </c>
      <c r="E8" s="99">
        <f>SUM(Tabla35[[#This Row],[En proceso 
de Notificación]:[Concluidas]])</f>
        <v>85</v>
      </c>
    </row>
    <row r="9" spans="1:5" x14ac:dyDescent="0.25">
      <c r="A9" s="10">
        <v>2007</v>
      </c>
      <c r="B9" s="39">
        <v>0</v>
      </c>
      <c r="C9" s="37">
        <v>214</v>
      </c>
      <c r="D9" s="36">
        <v>72</v>
      </c>
      <c r="E9" s="99">
        <f>SUM(Tabla35[[#This Row],[En proceso 
de Notificación]:[Concluidas]])</f>
        <v>286</v>
      </c>
    </row>
    <row r="10" spans="1:5" x14ac:dyDescent="0.25">
      <c r="A10" s="10">
        <v>2008</v>
      </c>
      <c r="B10" s="39">
        <v>0</v>
      </c>
      <c r="C10" s="37">
        <v>174</v>
      </c>
      <c r="D10" s="36">
        <v>52</v>
      </c>
      <c r="E10" s="99">
        <f>SUM(Tabla35[[#This Row],[En proceso 
de Notificación]:[Concluidas]])</f>
        <v>226</v>
      </c>
    </row>
    <row r="11" spans="1:5" x14ac:dyDescent="0.25">
      <c r="A11" s="10">
        <v>2009</v>
      </c>
      <c r="B11" s="39">
        <v>0</v>
      </c>
      <c r="C11" s="37">
        <v>54</v>
      </c>
      <c r="D11" s="36">
        <v>172</v>
      </c>
      <c r="E11" s="99">
        <f>SUM(Tabla35[[#This Row],[En proceso 
de Notificación]:[Concluidas]])</f>
        <v>226</v>
      </c>
    </row>
    <row r="12" spans="1:5" x14ac:dyDescent="0.25">
      <c r="A12" s="10">
        <v>2010</v>
      </c>
      <c r="B12" s="39">
        <v>0</v>
      </c>
      <c r="C12" s="37">
        <v>44</v>
      </c>
      <c r="D12" s="36">
        <v>370</v>
      </c>
      <c r="E12" s="99">
        <f>SUM(Tabla35[[#This Row],[En proceso 
de Notificación]:[Concluidas]])</f>
        <v>414</v>
      </c>
    </row>
    <row r="13" spans="1:5" x14ac:dyDescent="0.25">
      <c r="A13" s="10">
        <v>2011</v>
      </c>
      <c r="B13" s="39">
        <v>0</v>
      </c>
      <c r="C13" s="37">
        <v>24</v>
      </c>
      <c r="D13" s="36">
        <v>357</v>
      </c>
      <c r="E13" s="99">
        <f>SUM(Tabla35[[#This Row],[En proceso 
de Notificación]:[Concluidas]])</f>
        <v>381</v>
      </c>
    </row>
    <row r="14" spans="1:5" x14ac:dyDescent="0.25">
      <c r="A14" s="10">
        <v>2012</v>
      </c>
      <c r="B14" s="39">
        <v>0</v>
      </c>
      <c r="C14" s="37">
        <v>19</v>
      </c>
      <c r="D14" s="36">
        <v>457</v>
      </c>
      <c r="E14" s="99">
        <f>SUM(Tabla35[[#This Row],[En proceso 
de Notificación]:[Concluidas]])</f>
        <v>476</v>
      </c>
    </row>
    <row r="15" spans="1:5" x14ac:dyDescent="0.25">
      <c r="A15" s="10">
        <v>2013</v>
      </c>
      <c r="B15" s="39">
        <v>0</v>
      </c>
      <c r="C15" s="37">
        <v>134</v>
      </c>
      <c r="D15" s="36">
        <v>499</v>
      </c>
      <c r="E15" s="99">
        <f>SUM(Tabla35[[#This Row],[En proceso 
de Notificación]:[Concluidas]])</f>
        <v>633</v>
      </c>
    </row>
    <row r="16" spans="1:5" x14ac:dyDescent="0.25">
      <c r="A16" s="10">
        <v>2014</v>
      </c>
      <c r="B16" s="39">
        <v>0</v>
      </c>
      <c r="C16" s="37">
        <v>144</v>
      </c>
      <c r="D16" s="36">
        <v>655</v>
      </c>
      <c r="E16" s="99">
        <f>SUM(Tabla35[[#This Row],[En proceso 
de Notificación]:[Concluidas]])</f>
        <v>799</v>
      </c>
    </row>
    <row r="17" spans="1:5" x14ac:dyDescent="0.25">
      <c r="A17" s="10">
        <v>2015</v>
      </c>
      <c r="B17" s="39">
        <v>0</v>
      </c>
      <c r="C17" s="37">
        <v>364</v>
      </c>
      <c r="D17" s="36">
        <v>713</v>
      </c>
      <c r="E17" s="99">
        <f>SUM(Tabla35[[#This Row],[En proceso 
de Notificación]:[Concluidas]])</f>
        <v>1077</v>
      </c>
    </row>
    <row r="18" spans="1:5" x14ac:dyDescent="0.25">
      <c r="A18" s="10">
        <v>2016</v>
      </c>
      <c r="B18" s="39">
        <v>0</v>
      </c>
      <c r="C18" s="37">
        <v>1</v>
      </c>
      <c r="D18" s="36">
        <v>0</v>
      </c>
      <c r="E18" s="99">
        <f>SUM(Tabla35[[#This Row],[En proceso 
de Notificación]:[Concluidas]])</f>
        <v>1</v>
      </c>
    </row>
    <row r="19" spans="1:5" x14ac:dyDescent="0.25">
      <c r="A19" s="81" t="s">
        <v>35</v>
      </c>
      <c r="B19" s="50">
        <f>SUBTOTAL(109,B4:B18)</f>
        <v>0</v>
      </c>
      <c r="C19" s="107">
        <f>SUBTOTAL(109,C4:C18)</f>
        <v>1179</v>
      </c>
      <c r="D19" s="107">
        <f>SUBTOTAL(109,D4:D18)</f>
        <v>3605</v>
      </c>
      <c r="E19" s="99">
        <f>SUM(Tabla35[[#This Row],[En proceso 
de Notificación]:[Concluidas]])</f>
        <v>4784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BB83-E468-4A18-A8FA-6A4F89073CA3}">
  <dimension ref="B2:R31"/>
  <sheetViews>
    <sheetView topLeftCell="A25" workbookViewId="0">
      <selection activeCell="C1" sqref="C1:R1048576"/>
    </sheetView>
  </sheetViews>
  <sheetFormatPr baseColWidth="10" defaultRowHeight="15" x14ac:dyDescent="0.25"/>
  <cols>
    <col min="2" max="2" width="31.5703125" customWidth="1"/>
    <col min="3" max="18" width="6.85546875" customWidth="1"/>
  </cols>
  <sheetData>
    <row r="2" spans="2:18" x14ac:dyDescent="0.25">
      <c r="B2" s="83" t="s">
        <v>0</v>
      </c>
      <c r="C2" s="111" t="s">
        <v>36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87" t="s">
        <v>35</v>
      </c>
    </row>
    <row r="3" spans="2:18" x14ac:dyDescent="0.25">
      <c r="B3" s="83"/>
      <c r="C3" s="98" t="s">
        <v>37</v>
      </c>
      <c r="D3" s="98" t="s">
        <v>38</v>
      </c>
      <c r="E3" s="98" t="s">
        <v>39</v>
      </c>
      <c r="F3" s="98" t="s">
        <v>40</v>
      </c>
      <c r="G3" s="98" t="s">
        <v>41</v>
      </c>
      <c r="H3" s="98" t="s">
        <v>42</v>
      </c>
      <c r="I3" s="98" t="s">
        <v>43</v>
      </c>
      <c r="J3" s="98" t="s">
        <v>44</v>
      </c>
      <c r="K3" s="98" t="s">
        <v>45</v>
      </c>
      <c r="L3" s="98" t="s">
        <v>46</v>
      </c>
      <c r="M3" s="98" t="s">
        <v>47</v>
      </c>
      <c r="N3" s="98" t="s">
        <v>48</v>
      </c>
      <c r="O3" s="98" t="s">
        <v>49</v>
      </c>
      <c r="P3" s="98" t="s">
        <v>50</v>
      </c>
      <c r="Q3" s="98" t="s">
        <v>51</v>
      </c>
      <c r="R3" s="87"/>
    </row>
    <row r="4" spans="2:18" ht="75" x14ac:dyDescent="0.25">
      <c r="B4" s="91" t="s">
        <v>4</v>
      </c>
      <c r="C4" s="93" t="s">
        <v>59</v>
      </c>
      <c r="D4" s="93">
        <v>9</v>
      </c>
      <c r="E4" s="93">
        <v>26</v>
      </c>
      <c r="F4" s="93">
        <v>17</v>
      </c>
      <c r="G4" s="93">
        <v>33</v>
      </c>
      <c r="H4" s="93">
        <v>263</v>
      </c>
      <c r="I4" s="93">
        <v>213</v>
      </c>
      <c r="J4" s="93">
        <v>170</v>
      </c>
      <c r="K4" s="93">
        <v>312</v>
      </c>
      <c r="L4" s="93">
        <v>251</v>
      </c>
      <c r="M4" s="93">
        <v>364</v>
      </c>
      <c r="N4" s="93">
        <v>504</v>
      </c>
      <c r="O4" s="93">
        <v>615</v>
      </c>
      <c r="P4" s="93">
        <v>821</v>
      </c>
      <c r="Q4" s="93">
        <v>1</v>
      </c>
      <c r="R4" s="96">
        <f>SUM(Tabla34[[#This Row],[2002]:[2016]])</f>
        <v>3599</v>
      </c>
    </row>
    <row r="5" spans="2:18" ht="60" x14ac:dyDescent="0.25">
      <c r="B5" s="91" t="s">
        <v>13</v>
      </c>
      <c r="C5" s="93">
        <v>4</v>
      </c>
      <c r="D5" s="93" t="s">
        <v>59</v>
      </c>
      <c r="E5" s="93">
        <v>4</v>
      </c>
      <c r="F5" s="93">
        <v>1</v>
      </c>
      <c r="G5" s="93">
        <v>1</v>
      </c>
      <c r="H5" s="93" t="s">
        <v>59</v>
      </c>
      <c r="I5" s="93">
        <v>1</v>
      </c>
      <c r="J5" s="93">
        <v>18</v>
      </c>
      <c r="K5" s="93">
        <v>57</v>
      </c>
      <c r="L5" s="93">
        <v>65</v>
      </c>
      <c r="M5" s="93">
        <v>31</v>
      </c>
      <c r="N5" s="93">
        <v>20</v>
      </c>
      <c r="O5" s="93">
        <v>53</v>
      </c>
      <c r="P5" s="93">
        <v>70</v>
      </c>
      <c r="Q5" s="93" t="s">
        <v>59</v>
      </c>
      <c r="R5" s="96">
        <f>SUM(Tabla34[[#This Row],[2002]:[2016]])</f>
        <v>325</v>
      </c>
    </row>
    <row r="6" spans="2:18" ht="105" x14ac:dyDescent="0.25">
      <c r="B6" s="91" t="s">
        <v>8</v>
      </c>
      <c r="C6" s="93">
        <v>1</v>
      </c>
      <c r="D6" s="93" t="s">
        <v>59</v>
      </c>
      <c r="E6" s="93">
        <v>4</v>
      </c>
      <c r="F6" s="93">
        <v>8</v>
      </c>
      <c r="G6" s="93">
        <v>3</v>
      </c>
      <c r="H6" s="93" t="s">
        <v>59</v>
      </c>
      <c r="I6" s="93" t="s">
        <v>59</v>
      </c>
      <c r="J6" s="93" t="s">
        <v>59</v>
      </c>
      <c r="K6" s="93">
        <v>1</v>
      </c>
      <c r="L6" s="93" t="s">
        <v>59</v>
      </c>
      <c r="M6" s="93">
        <v>5</v>
      </c>
      <c r="N6" s="93">
        <v>43</v>
      </c>
      <c r="O6" s="93">
        <v>44</v>
      </c>
      <c r="P6" s="93">
        <v>51</v>
      </c>
      <c r="Q6" s="93" t="s">
        <v>59</v>
      </c>
      <c r="R6" s="96">
        <f>SUM(Tabla34[[#This Row],[2002]:[2016]])</f>
        <v>160</v>
      </c>
    </row>
    <row r="7" spans="2:18" ht="90" x14ac:dyDescent="0.25">
      <c r="B7" s="91" t="s">
        <v>21</v>
      </c>
      <c r="C7" s="93" t="s">
        <v>59</v>
      </c>
      <c r="D7" s="93" t="s">
        <v>59</v>
      </c>
      <c r="E7" s="93" t="s">
        <v>59</v>
      </c>
      <c r="F7" s="93" t="s">
        <v>59</v>
      </c>
      <c r="G7" s="93">
        <v>3</v>
      </c>
      <c r="H7" s="93" t="s">
        <v>59</v>
      </c>
      <c r="I7" s="93">
        <v>1</v>
      </c>
      <c r="J7" s="93">
        <v>14</v>
      </c>
      <c r="K7" s="93">
        <v>17</v>
      </c>
      <c r="L7" s="93">
        <v>32</v>
      </c>
      <c r="M7" s="93">
        <v>14</v>
      </c>
      <c r="N7" s="93">
        <v>5</v>
      </c>
      <c r="O7" s="93">
        <v>1</v>
      </c>
      <c r="P7" s="93">
        <v>3</v>
      </c>
      <c r="Q7" s="93" t="s">
        <v>59</v>
      </c>
      <c r="R7" s="96">
        <f>SUM(Tabla34[[#This Row],[2002]:[2016]])</f>
        <v>90</v>
      </c>
    </row>
    <row r="8" spans="2:18" x14ac:dyDescent="0.25">
      <c r="B8" s="91" t="s">
        <v>15</v>
      </c>
      <c r="C8" s="93">
        <v>2</v>
      </c>
      <c r="D8" s="93" t="s">
        <v>59</v>
      </c>
      <c r="E8" s="93">
        <v>3</v>
      </c>
      <c r="F8" s="93">
        <v>5</v>
      </c>
      <c r="G8" s="93" t="s">
        <v>59</v>
      </c>
      <c r="H8" s="93" t="s">
        <v>59</v>
      </c>
      <c r="I8" s="93" t="s">
        <v>59</v>
      </c>
      <c r="J8" s="93">
        <v>1</v>
      </c>
      <c r="K8" s="93">
        <v>2</v>
      </c>
      <c r="L8" s="93" t="s">
        <v>59</v>
      </c>
      <c r="M8" s="93">
        <v>4</v>
      </c>
      <c r="N8" s="93">
        <v>11</v>
      </c>
      <c r="O8" s="93">
        <v>10</v>
      </c>
      <c r="P8" s="93">
        <v>42</v>
      </c>
      <c r="Q8" s="93" t="s">
        <v>59</v>
      </c>
      <c r="R8" s="96">
        <f>SUM(Tabla34[[#This Row],[2002]:[2016]])</f>
        <v>80</v>
      </c>
    </row>
    <row r="9" spans="2:18" ht="90" x14ac:dyDescent="0.25">
      <c r="B9" s="91" t="s">
        <v>10</v>
      </c>
      <c r="C9" s="93">
        <v>4</v>
      </c>
      <c r="D9" s="93">
        <v>6</v>
      </c>
      <c r="E9" s="93">
        <v>9</v>
      </c>
      <c r="F9" s="93">
        <v>12</v>
      </c>
      <c r="G9" s="93">
        <v>3</v>
      </c>
      <c r="H9" s="93">
        <v>6</v>
      </c>
      <c r="I9" s="93">
        <v>1</v>
      </c>
      <c r="J9" s="93">
        <v>2</v>
      </c>
      <c r="K9" s="93">
        <v>5</v>
      </c>
      <c r="L9" s="93">
        <v>4</v>
      </c>
      <c r="M9" s="93">
        <v>9</v>
      </c>
      <c r="N9" s="93">
        <v>2</v>
      </c>
      <c r="O9" s="93">
        <v>4</v>
      </c>
      <c r="P9" s="93">
        <v>11</v>
      </c>
      <c r="Q9" s="93" t="s">
        <v>59</v>
      </c>
      <c r="R9" s="96">
        <f>SUM(Tabla34[[#This Row],[2002]:[2016]])</f>
        <v>78</v>
      </c>
    </row>
    <row r="10" spans="2:18" ht="90" x14ac:dyDescent="0.25">
      <c r="B10" s="91" t="s">
        <v>7</v>
      </c>
      <c r="C10" s="93" t="s">
        <v>59</v>
      </c>
      <c r="D10" s="93" t="s">
        <v>59</v>
      </c>
      <c r="E10" s="93">
        <v>1</v>
      </c>
      <c r="F10" s="93">
        <v>7</v>
      </c>
      <c r="G10" s="93">
        <v>10</v>
      </c>
      <c r="H10" s="93">
        <v>1</v>
      </c>
      <c r="I10" s="93" t="s">
        <v>59</v>
      </c>
      <c r="J10" s="93" t="s">
        <v>59</v>
      </c>
      <c r="K10" s="93" t="s">
        <v>59</v>
      </c>
      <c r="L10" s="93" t="s">
        <v>59</v>
      </c>
      <c r="M10" s="93">
        <v>3</v>
      </c>
      <c r="N10" s="93">
        <v>2</v>
      </c>
      <c r="O10" s="93">
        <v>28</v>
      </c>
      <c r="P10" s="93">
        <v>17</v>
      </c>
      <c r="Q10" s="93" t="s">
        <v>59</v>
      </c>
      <c r="R10" s="96">
        <f>SUM(Tabla34[[#This Row],[2002]:[2016]])</f>
        <v>69</v>
      </c>
    </row>
    <row r="11" spans="2:18" x14ac:dyDescent="0.25">
      <c r="B11" s="91" t="s">
        <v>11</v>
      </c>
      <c r="C11" s="93" t="s">
        <v>59</v>
      </c>
      <c r="D11" s="93">
        <v>1</v>
      </c>
      <c r="E11" s="93">
        <v>4</v>
      </c>
      <c r="F11" s="93" t="s">
        <v>59</v>
      </c>
      <c r="G11" s="93">
        <v>8</v>
      </c>
      <c r="H11" s="93">
        <v>2</v>
      </c>
      <c r="I11" s="93" t="s">
        <v>59</v>
      </c>
      <c r="J11" s="93" t="s">
        <v>59</v>
      </c>
      <c r="K11" s="93">
        <v>2</v>
      </c>
      <c r="L11" s="93">
        <v>2</v>
      </c>
      <c r="M11" s="93">
        <v>8</v>
      </c>
      <c r="N11" s="93">
        <v>16</v>
      </c>
      <c r="O11" s="93">
        <v>4</v>
      </c>
      <c r="P11" s="93">
        <v>14</v>
      </c>
      <c r="Q11" s="93" t="s">
        <v>59</v>
      </c>
      <c r="R11" s="96">
        <f>SUM(Tabla34[[#This Row],[2002]:[2016]])</f>
        <v>61</v>
      </c>
    </row>
    <row r="12" spans="2:18" ht="45" x14ac:dyDescent="0.25">
      <c r="B12" s="91" t="s">
        <v>5</v>
      </c>
      <c r="C12" s="93">
        <v>1</v>
      </c>
      <c r="D12" s="93">
        <v>2</v>
      </c>
      <c r="E12" s="93">
        <v>3</v>
      </c>
      <c r="F12" s="93">
        <v>3</v>
      </c>
      <c r="G12" s="93">
        <v>7</v>
      </c>
      <c r="H12" s="93">
        <v>3</v>
      </c>
      <c r="I12" s="93">
        <v>2</v>
      </c>
      <c r="J12" s="93">
        <v>1</v>
      </c>
      <c r="K12" s="93">
        <v>4</v>
      </c>
      <c r="L12" s="93">
        <v>6</v>
      </c>
      <c r="M12" s="93">
        <v>9</v>
      </c>
      <c r="N12" s="93">
        <v>3</v>
      </c>
      <c r="O12" s="93">
        <v>9</v>
      </c>
      <c r="P12" s="93">
        <v>1</v>
      </c>
      <c r="Q12" s="93" t="s">
        <v>59</v>
      </c>
      <c r="R12" s="96">
        <f>SUM(Tabla34[[#This Row],[2002]:[2016]])</f>
        <v>54</v>
      </c>
    </row>
    <row r="13" spans="2:18" ht="60" x14ac:dyDescent="0.25">
      <c r="B13" s="91" t="s">
        <v>6</v>
      </c>
      <c r="C13" s="93">
        <v>1</v>
      </c>
      <c r="D13" s="93">
        <v>1</v>
      </c>
      <c r="E13" s="93">
        <v>7</v>
      </c>
      <c r="F13" s="93">
        <v>4</v>
      </c>
      <c r="G13" s="93">
        <v>3</v>
      </c>
      <c r="H13" s="93">
        <v>2</v>
      </c>
      <c r="I13" s="93">
        <v>3</v>
      </c>
      <c r="J13" s="93">
        <v>4</v>
      </c>
      <c r="K13" s="93">
        <v>4</v>
      </c>
      <c r="L13" s="93">
        <v>2</v>
      </c>
      <c r="M13" s="93" t="s">
        <v>59</v>
      </c>
      <c r="N13" s="93">
        <v>5</v>
      </c>
      <c r="O13" s="93" t="s">
        <v>59</v>
      </c>
      <c r="P13" s="93">
        <v>7</v>
      </c>
      <c r="Q13" s="93" t="s">
        <v>59</v>
      </c>
      <c r="R13" s="96">
        <f>SUM(Tabla34[[#This Row],[2002]:[2016]])</f>
        <v>43</v>
      </c>
    </row>
    <row r="14" spans="2:18" ht="30" x14ac:dyDescent="0.25">
      <c r="B14" s="91" t="s">
        <v>9</v>
      </c>
      <c r="C14" s="93" t="s">
        <v>59</v>
      </c>
      <c r="D14" s="93">
        <v>1</v>
      </c>
      <c r="E14" s="93">
        <v>4</v>
      </c>
      <c r="F14" s="93" t="s">
        <v>59</v>
      </c>
      <c r="G14" s="93">
        <v>4</v>
      </c>
      <c r="H14" s="93">
        <v>4</v>
      </c>
      <c r="I14" s="93">
        <v>2</v>
      </c>
      <c r="J14" s="93">
        <v>3</v>
      </c>
      <c r="K14" s="93">
        <v>1</v>
      </c>
      <c r="L14" s="93">
        <v>2</v>
      </c>
      <c r="M14" s="93">
        <v>3</v>
      </c>
      <c r="N14" s="93">
        <v>5</v>
      </c>
      <c r="O14" s="93">
        <v>11</v>
      </c>
      <c r="P14" s="93" t="s">
        <v>59</v>
      </c>
      <c r="Q14" s="93" t="s">
        <v>59</v>
      </c>
      <c r="R14" s="96">
        <f>SUM(Tabla34[[#This Row],[2002]:[2016]])</f>
        <v>40</v>
      </c>
    </row>
    <row r="15" spans="2:18" ht="90" x14ac:dyDescent="0.25">
      <c r="B15" s="91" t="s">
        <v>12</v>
      </c>
      <c r="C15" s="93" t="s">
        <v>59</v>
      </c>
      <c r="D15" s="93" t="s">
        <v>59</v>
      </c>
      <c r="E15" s="93" t="s">
        <v>59</v>
      </c>
      <c r="F15" s="93">
        <v>1</v>
      </c>
      <c r="G15" s="93">
        <v>1</v>
      </c>
      <c r="H15" s="93">
        <v>2</v>
      </c>
      <c r="I15" s="93">
        <v>2</v>
      </c>
      <c r="J15" s="93">
        <v>8</v>
      </c>
      <c r="K15" s="93">
        <v>3</v>
      </c>
      <c r="L15" s="93">
        <v>5</v>
      </c>
      <c r="M15" s="93">
        <v>4</v>
      </c>
      <c r="N15" s="93">
        <v>3</v>
      </c>
      <c r="O15" s="93">
        <v>2</v>
      </c>
      <c r="P15" s="93">
        <v>5</v>
      </c>
      <c r="Q15" s="93" t="s">
        <v>59</v>
      </c>
      <c r="R15" s="96">
        <f>SUM(Tabla34[[#This Row],[2002]:[2016]])</f>
        <v>36</v>
      </c>
    </row>
    <row r="16" spans="2:18" x14ac:dyDescent="0.25">
      <c r="B16" s="91" t="s">
        <v>14</v>
      </c>
      <c r="C16" s="93" t="s">
        <v>59</v>
      </c>
      <c r="D16" s="93" t="s">
        <v>59</v>
      </c>
      <c r="E16" s="93" t="s">
        <v>59</v>
      </c>
      <c r="F16" s="93" t="s">
        <v>59</v>
      </c>
      <c r="G16" s="93" t="s">
        <v>59</v>
      </c>
      <c r="H16" s="93" t="s">
        <v>59</v>
      </c>
      <c r="I16" s="93" t="s">
        <v>59</v>
      </c>
      <c r="J16" s="93">
        <v>1</v>
      </c>
      <c r="K16" s="93" t="s">
        <v>59</v>
      </c>
      <c r="L16" s="93" t="s">
        <v>59</v>
      </c>
      <c r="M16" s="93" t="s">
        <v>59</v>
      </c>
      <c r="N16" s="93" t="s">
        <v>59</v>
      </c>
      <c r="O16" s="93">
        <v>8</v>
      </c>
      <c r="P16" s="93">
        <v>19</v>
      </c>
      <c r="Q16" s="93" t="s">
        <v>59</v>
      </c>
      <c r="R16" s="96">
        <f>SUM(Tabla34[[#This Row],[2002]:[2016]])</f>
        <v>28</v>
      </c>
    </row>
    <row r="17" spans="2:18" x14ac:dyDescent="0.25">
      <c r="B17" s="91" t="s">
        <v>24</v>
      </c>
      <c r="C17" s="93" t="s">
        <v>59</v>
      </c>
      <c r="D17" s="93">
        <v>1</v>
      </c>
      <c r="E17" s="93" t="s">
        <v>59</v>
      </c>
      <c r="F17" s="93" t="s">
        <v>59</v>
      </c>
      <c r="G17" s="93">
        <v>2</v>
      </c>
      <c r="H17" s="93" t="s">
        <v>59</v>
      </c>
      <c r="I17" s="93" t="s">
        <v>59</v>
      </c>
      <c r="J17" s="93">
        <v>2</v>
      </c>
      <c r="K17" s="93">
        <v>3</v>
      </c>
      <c r="L17" s="93" t="s">
        <v>59</v>
      </c>
      <c r="M17" s="93">
        <v>8</v>
      </c>
      <c r="N17" s="93" t="s">
        <v>59</v>
      </c>
      <c r="O17" s="93">
        <v>2</v>
      </c>
      <c r="P17" s="93">
        <v>3</v>
      </c>
      <c r="Q17" s="93" t="s">
        <v>59</v>
      </c>
      <c r="R17" s="96">
        <f>SUM(Tabla34[[#This Row],[2002]:[2016]])</f>
        <v>21</v>
      </c>
    </row>
    <row r="18" spans="2:18" x14ac:dyDescent="0.25">
      <c r="B18" s="91" t="s">
        <v>18</v>
      </c>
      <c r="C18" s="93" t="s">
        <v>59</v>
      </c>
      <c r="D18" s="93" t="s">
        <v>59</v>
      </c>
      <c r="E18" s="93" t="s">
        <v>59</v>
      </c>
      <c r="F18" s="93">
        <v>2</v>
      </c>
      <c r="G18" s="93" t="s">
        <v>59</v>
      </c>
      <c r="H18" s="93" t="s">
        <v>59</v>
      </c>
      <c r="I18" s="93" t="s">
        <v>59</v>
      </c>
      <c r="J18" s="93" t="s">
        <v>59</v>
      </c>
      <c r="K18" s="93">
        <v>1</v>
      </c>
      <c r="L18" s="93">
        <v>2</v>
      </c>
      <c r="M18" s="93">
        <v>4</v>
      </c>
      <c r="N18" s="93">
        <v>4</v>
      </c>
      <c r="O18" s="93">
        <v>4</v>
      </c>
      <c r="P18" s="93">
        <v>4</v>
      </c>
      <c r="Q18" s="93" t="s">
        <v>59</v>
      </c>
      <c r="R18" s="96">
        <f>SUM(Tabla34[[#This Row],[2002]:[2016]])</f>
        <v>21</v>
      </c>
    </row>
    <row r="19" spans="2:18" ht="30" x14ac:dyDescent="0.25">
      <c r="B19" s="91" t="s">
        <v>20</v>
      </c>
      <c r="C19" s="93" t="s">
        <v>59</v>
      </c>
      <c r="D19" s="93">
        <v>4</v>
      </c>
      <c r="E19" s="93">
        <v>3</v>
      </c>
      <c r="F19" s="93">
        <v>1</v>
      </c>
      <c r="G19" s="93">
        <v>2</v>
      </c>
      <c r="H19" s="93" t="s">
        <v>59</v>
      </c>
      <c r="I19" s="93" t="s">
        <v>59</v>
      </c>
      <c r="J19" s="93" t="s">
        <v>59</v>
      </c>
      <c r="K19" s="93" t="s">
        <v>59</v>
      </c>
      <c r="L19" s="93" t="s">
        <v>59</v>
      </c>
      <c r="M19" s="93" t="s">
        <v>59</v>
      </c>
      <c r="N19" s="93">
        <v>6</v>
      </c>
      <c r="O19" s="93" t="s">
        <v>59</v>
      </c>
      <c r="P19" s="93" t="s">
        <v>59</v>
      </c>
      <c r="Q19" s="93" t="s">
        <v>59</v>
      </c>
      <c r="R19" s="96">
        <f>SUM(Tabla34[[#This Row],[2002]:[2016]])</f>
        <v>16</v>
      </c>
    </row>
    <row r="20" spans="2:18" ht="90" x14ac:dyDescent="0.25">
      <c r="B20" s="91" t="s">
        <v>19</v>
      </c>
      <c r="C20" s="93" t="s">
        <v>59</v>
      </c>
      <c r="D20" s="93">
        <v>3</v>
      </c>
      <c r="E20" s="93">
        <v>2</v>
      </c>
      <c r="F20" s="93" t="s">
        <v>59</v>
      </c>
      <c r="G20" s="93" t="s">
        <v>59</v>
      </c>
      <c r="H20" s="93">
        <v>1</v>
      </c>
      <c r="I20" s="93" t="s">
        <v>59</v>
      </c>
      <c r="J20" s="93" t="s">
        <v>59</v>
      </c>
      <c r="K20" s="93">
        <v>1</v>
      </c>
      <c r="L20" s="93" t="s">
        <v>59</v>
      </c>
      <c r="M20" s="93">
        <v>1</v>
      </c>
      <c r="N20" s="93">
        <v>3</v>
      </c>
      <c r="O20" s="93">
        <v>1</v>
      </c>
      <c r="P20" s="93">
        <v>3</v>
      </c>
      <c r="Q20" s="93" t="s">
        <v>59</v>
      </c>
      <c r="R20" s="96">
        <f>SUM(Tabla34[[#This Row],[2002]:[2016]])</f>
        <v>15</v>
      </c>
    </row>
    <row r="21" spans="2:18" x14ac:dyDescent="0.25">
      <c r="B21" s="91" t="s">
        <v>16</v>
      </c>
      <c r="C21" s="93" t="s">
        <v>59</v>
      </c>
      <c r="D21" s="93">
        <v>1</v>
      </c>
      <c r="E21" s="93" t="s">
        <v>59</v>
      </c>
      <c r="F21" s="93">
        <v>1</v>
      </c>
      <c r="G21" s="93">
        <v>2</v>
      </c>
      <c r="H21" s="93" t="s">
        <v>59</v>
      </c>
      <c r="I21" s="93" t="s">
        <v>59</v>
      </c>
      <c r="J21" s="93" t="s">
        <v>59</v>
      </c>
      <c r="K21" s="93" t="s">
        <v>59</v>
      </c>
      <c r="L21" s="93">
        <v>7</v>
      </c>
      <c r="M21" s="93" t="s">
        <v>59</v>
      </c>
      <c r="N21" s="93" t="s">
        <v>59</v>
      </c>
      <c r="O21" s="93">
        <v>1</v>
      </c>
      <c r="P21" s="93">
        <v>2</v>
      </c>
      <c r="Q21" s="93" t="s">
        <v>59</v>
      </c>
      <c r="R21" s="96">
        <f>SUM(Tabla34[[#This Row],[2002]:[2016]])</f>
        <v>14</v>
      </c>
    </row>
    <row r="22" spans="2:18" ht="60" x14ac:dyDescent="0.25">
      <c r="B22" s="91" t="s">
        <v>30</v>
      </c>
      <c r="C22" s="93" t="s">
        <v>59</v>
      </c>
      <c r="D22" s="93">
        <v>5</v>
      </c>
      <c r="E22" s="93" t="s">
        <v>59</v>
      </c>
      <c r="F22" s="93" t="s">
        <v>59</v>
      </c>
      <c r="G22" s="93">
        <v>1</v>
      </c>
      <c r="H22" s="93" t="s">
        <v>59</v>
      </c>
      <c r="I22" s="93">
        <v>1</v>
      </c>
      <c r="J22" s="93" t="s">
        <v>59</v>
      </c>
      <c r="K22" s="93" t="s">
        <v>59</v>
      </c>
      <c r="L22" s="93">
        <v>1</v>
      </c>
      <c r="M22" s="93" t="s">
        <v>59</v>
      </c>
      <c r="N22" s="93" t="s">
        <v>59</v>
      </c>
      <c r="O22" s="93" t="s">
        <v>59</v>
      </c>
      <c r="P22" s="93" t="s">
        <v>59</v>
      </c>
      <c r="Q22" s="93" t="s">
        <v>59</v>
      </c>
      <c r="R22" s="96">
        <f>SUM(Tabla34[[#This Row],[2002]:[2016]])</f>
        <v>8</v>
      </c>
    </row>
    <row r="23" spans="2:18" ht="45" x14ac:dyDescent="0.25">
      <c r="B23" s="91" t="s">
        <v>17</v>
      </c>
      <c r="C23" s="93">
        <v>1</v>
      </c>
      <c r="D23" s="93" t="s">
        <v>59</v>
      </c>
      <c r="E23" s="93" t="s">
        <v>59</v>
      </c>
      <c r="F23" s="93" t="s">
        <v>59</v>
      </c>
      <c r="G23" s="93" t="s">
        <v>59</v>
      </c>
      <c r="H23" s="93" t="s">
        <v>59</v>
      </c>
      <c r="I23" s="93" t="s">
        <v>59</v>
      </c>
      <c r="J23" s="93">
        <v>2</v>
      </c>
      <c r="K23" s="93" t="s">
        <v>59</v>
      </c>
      <c r="L23" s="93" t="s">
        <v>59</v>
      </c>
      <c r="M23" s="93">
        <v>3</v>
      </c>
      <c r="N23" s="93" t="s">
        <v>59</v>
      </c>
      <c r="O23" s="93" t="s">
        <v>59</v>
      </c>
      <c r="P23" s="93" t="s">
        <v>59</v>
      </c>
      <c r="Q23" s="93" t="s">
        <v>59</v>
      </c>
      <c r="R23" s="96">
        <f>SUM(Tabla34[[#This Row],[2002]:[2016]])</f>
        <v>6</v>
      </c>
    </row>
    <row r="24" spans="2:18" x14ac:dyDescent="0.25">
      <c r="B24" s="91" t="s">
        <v>22</v>
      </c>
      <c r="C24" s="93" t="s">
        <v>59</v>
      </c>
      <c r="D24" s="93" t="s">
        <v>59</v>
      </c>
      <c r="E24" s="93" t="s">
        <v>59</v>
      </c>
      <c r="F24" s="93" t="s">
        <v>59</v>
      </c>
      <c r="G24" s="93" t="s">
        <v>59</v>
      </c>
      <c r="H24" s="93">
        <v>1</v>
      </c>
      <c r="I24" s="93" t="s">
        <v>59</v>
      </c>
      <c r="J24" s="93" t="s">
        <v>59</v>
      </c>
      <c r="K24" s="93" t="s">
        <v>59</v>
      </c>
      <c r="L24" s="93" t="s">
        <v>59</v>
      </c>
      <c r="M24" s="93">
        <v>2</v>
      </c>
      <c r="N24" s="93" t="s">
        <v>59</v>
      </c>
      <c r="O24" s="93">
        <v>1</v>
      </c>
      <c r="P24" s="93" t="s">
        <v>59</v>
      </c>
      <c r="Q24" s="93" t="s">
        <v>59</v>
      </c>
      <c r="R24" s="96">
        <f>SUM(Tabla34[[#This Row],[2002]:[2016]])</f>
        <v>4</v>
      </c>
    </row>
    <row r="25" spans="2:18" ht="120" x14ac:dyDescent="0.25">
      <c r="B25" s="91" t="s">
        <v>25</v>
      </c>
      <c r="C25" s="93" t="s">
        <v>59</v>
      </c>
      <c r="D25" s="93" t="s">
        <v>59</v>
      </c>
      <c r="E25" s="93" t="s">
        <v>59</v>
      </c>
      <c r="F25" s="93" t="s">
        <v>59</v>
      </c>
      <c r="G25" s="93">
        <v>2</v>
      </c>
      <c r="H25" s="93" t="s">
        <v>59</v>
      </c>
      <c r="I25" s="93" t="s">
        <v>59</v>
      </c>
      <c r="J25" s="93" t="s">
        <v>59</v>
      </c>
      <c r="K25" s="93" t="s">
        <v>59</v>
      </c>
      <c r="L25" s="93">
        <v>2</v>
      </c>
      <c r="M25" s="93" t="s">
        <v>59</v>
      </c>
      <c r="N25" s="93" t="s">
        <v>59</v>
      </c>
      <c r="O25" s="93" t="s">
        <v>59</v>
      </c>
      <c r="P25" s="93" t="s">
        <v>59</v>
      </c>
      <c r="Q25" s="93" t="s">
        <v>59</v>
      </c>
      <c r="R25" s="96">
        <f>SUM(Tabla34[[#This Row],[2002]:[2016]])</f>
        <v>4</v>
      </c>
    </row>
    <row r="26" spans="2:18" ht="30" x14ac:dyDescent="0.25">
      <c r="B26" s="91" t="s">
        <v>26</v>
      </c>
      <c r="C26" s="93" t="s">
        <v>59</v>
      </c>
      <c r="D26" s="93" t="s">
        <v>59</v>
      </c>
      <c r="E26" s="93" t="s">
        <v>59</v>
      </c>
      <c r="F26" s="93" t="s">
        <v>59</v>
      </c>
      <c r="G26" s="93" t="s">
        <v>59</v>
      </c>
      <c r="H26" s="93" t="s">
        <v>59</v>
      </c>
      <c r="I26" s="93" t="s">
        <v>59</v>
      </c>
      <c r="J26" s="93" t="s">
        <v>59</v>
      </c>
      <c r="K26" s="93" t="s">
        <v>59</v>
      </c>
      <c r="L26" s="93" t="s">
        <v>59</v>
      </c>
      <c r="M26" s="93" t="s">
        <v>59</v>
      </c>
      <c r="N26" s="93">
        <v>1</v>
      </c>
      <c r="O26" s="93">
        <v>1</v>
      </c>
      <c r="P26" s="93">
        <v>1</v>
      </c>
      <c r="Q26" s="93" t="s">
        <v>59</v>
      </c>
      <c r="R26" s="96">
        <f>SUM(Tabla34[[#This Row],[2002]:[2016]])</f>
        <v>3</v>
      </c>
    </row>
    <row r="27" spans="2:18" ht="30" x14ac:dyDescent="0.25">
      <c r="B27" s="91" t="s">
        <v>23</v>
      </c>
      <c r="C27" s="93" t="s">
        <v>59</v>
      </c>
      <c r="D27" s="93" t="s">
        <v>59</v>
      </c>
      <c r="E27" s="93" t="s">
        <v>59</v>
      </c>
      <c r="F27" s="93" t="s">
        <v>59</v>
      </c>
      <c r="G27" s="93" t="s">
        <v>59</v>
      </c>
      <c r="H27" s="93" t="s">
        <v>59</v>
      </c>
      <c r="I27" s="93" t="s">
        <v>59</v>
      </c>
      <c r="J27" s="93" t="s">
        <v>59</v>
      </c>
      <c r="K27" s="93" t="s">
        <v>59</v>
      </c>
      <c r="L27" s="93" t="s">
        <v>59</v>
      </c>
      <c r="M27" s="93">
        <v>3</v>
      </c>
      <c r="N27" s="93" t="s">
        <v>59</v>
      </c>
      <c r="O27" s="93" t="s">
        <v>59</v>
      </c>
      <c r="P27" s="93" t="s">
        <v>59</v>
      </c>
      <c r="Q27" s="93" t="s">
        <v>59</v>
      </c>
      <c r="R27" s="96">
        <f>SUM(Tabla34[[#This Row],[2002]:[2016]])</f>
        <v>3</v>
      </c>
    </row>
    <row r="28" spans="2:18" ht="60" x14ac:dyDescent="0.25">
      <c r="B28" s="91" t="s">
        <v>29</v>
      </c>
      <c r="C28" s="93" t="s">
        <v>59</v>
      </c>
      <c r="D28" s="93" t="s">
        <v>59</v>
      </c>
      <c r="E28" s="93" t="s">
        <v>59</v>
      </c>
      <c r="F28" s="93" t="s">
        <v>59</v>
      </c>
      <c r="G28" s="93" t="s">
        <v>59</v>
      </c>
      <c r="H28" s="93" t="s">
        <v>59</v>
      </c>
      <c r="I28" s="93" t="s">
        <v>59</v>
      </c>
      <c r="J28" s="93" t="s">
        <v>59</v>
      </c>
      <c r="K28" s="93" t="s">
        <v>59</v>
      </c>
      <c r="L28" s="93" t="s">
        <v>59</v>
      </c>
      <c r="M28" s="93" t="s">
        <v>59</v>
      </c>
      <c r="N28" s="93" t="s">
        <v>59</v>
      </c>
      <c r="O28" s="93" t="s">
        <v>59</v>
      </c>
      <c r="P28" s="93">
        <v>3</v>
      </c>
      <c r="Q28" s="93" t="s">
        <v>59</v>
      </c>
      <c r="R28" s="96">
        <f>SUM(Tabla34[[#This Row],[2002]:[2016]])</f>
        <v>3</v>
      </c>
    </row>
    <row r="29" spans="2:18" ht="45" x14ac:dyDescent="0.25">
      <c r="B29" s="91" t="s">
        <v>28</v>
      </c>
      <c r="C29" s="93" t="s">
        <v>59</v>
      </c>
      <c r="D29" s="93" t="s">
        <v>59</v>
      </c>
      <c r="E29" s="93" t="s">
        <v>59</v>
      </c>
      <c r="F29" s="93" t="s">
        <v>59</v>
      </c>
      <c r="G29" s="93" t="s">
        <v>59</v>
      </c>
      <c r="H29" s="93">
        <v>1</v>
      </c>
      <c r="I29" s="93" t="s">
        <v>59</v>
      </c>
      <c r="J29" s="93" t="s">
        <v>59</v>
      </c>
      <c r="K29" s="93">
        <v>1</v>
      </c>
      <c r="L29" s="93" t="s">
        <v>59</v>
      </c>
      <c r="M29" s="93" t="s">
        <v>59</v>
      </c>
      <c r="N29" s="93" t="s">
        <v>59</v>
      </c>
      <c r="O29" s="93" t="s">
        <v>59</v>
      </c>
      <c r="P29" s="93" t="s">
        <v>59</v>
      </c>
      <c r="Q29" s="93" t="s">
        <v>59</v>
      </c>
      <c r="R29" s="96">
        <f>SUM(Tabla34[[#This Row],[2002]:[2016]])</f>
        <v>2</v>
      </c>
    </row>
    <row r="30" spans="2:18" ht="45" x14ac:dyDescent="0.25">
      <c r="B30" s="91" t="s">
        <v>32</v>
      </c>
      <c r="C30" s="93" t="s">
        <v>59</v>
      </c>
      <c r="D30" s="93" t="s">
        <v>59</v>
      </c>
      <c r="E30" s="93" t="s">
        <v>59</v>
      </c>
      <c r="F30" s="93" t="s">
        <v>59</v>
      </c>
      <c r="G30" s="93" t="s">
        <v>59</v>
      </c>
      <c r="H30" s="93" t="s">
        <v>59</v>
      </c>
      <c r="I30" s="93" t="s">
        <v>59</v>
      </c>
      <c r="J30" s="93" t="s">
        <v>59</v>
      </c>
      <c r="K30" s="93" t="s">
        <v>59</v>
      </c>
      <c r="L30" s="93" t="s">
        <v>59</v>
      </c>
      <c r="M30" s="93">
        <v>1</v>
      </c>
      <c r="N30" s="93" t="s">
        <v>59</v>
      </c>
      <c r="O30" s="93" t="s">
        <v>59</v>
      </c>
      <c r="P30" s="93" t="s">
        <v>59</v>
      </c>
      <c r="Q30" s="93" t="s">
        <v>59</v>
      </c>
      <c r="R30" s="96">
        <f>SUM(Tabla34[[#This Row],[2002]:[2016]])</f>
        <v>1</v>
      </c>
    </row>
    <row r="31" spans="2:18" x14ac:dyDescent="0.25">
      <c r="B31" s="91" t="s">
        <v>35</v>
      </c>
      <c r="C31" s="105">
        <f>SUBTOTAL(109,C4:C30)</f>
        <v>14</v>
      </c>
      <c r="D31" s="105">
        <f t="shared" ref="D31:Q31" si="0">SUBTOTAL(109,D4:D30)</f>
        <v>34</v>
      </c>
      <c r="E31" s="105">
        <f t="shared" si="0"/>
        <v>70</v>
      </c>
      <c r="F31" s="105">
        <f t="shared" si="0"/>
        <v>62</v>
      </c>
      <c r="G31" s="105">
        <f t="shared" si="0"/>
        <v>85</v>
      </c>
      <c r="H31" s="105">
        <f t="shared" si="0"/>
        <v>286</v>
      </c>
      <c r="I31" s="105">
        <f t="shared" si="0"/>
        <v>226</v>
      </c>
      <c r="J31" s="105">
        <f t="shared" si="0"/>
        <v>226</v>
      </c>
      <c r="K31" s="105">
        <f t="shared" si="0"/>
        <v>414</v>
      </c>
      <c r="L31" s="105">
        <f t="shared" si="0"/>
        <v>381</v>
      </c>
      <c r="M31" s="105">
        <f t="shared" si="0"/>
        <v>476</v>
      </c>
      <c r="N31" s="105">
        <f t="shared" si="0"/>
        <v>633</v>
      </c>
      <c r="O31" s="105">
        <f t="shared" si="0"/>
        <v>799</v>
      </c>
      <c r="P31" s="105">
        <f t="shared" si="0"/>
        <v>1077</v>
      </c>
      <c r="Q31" s="105">
        <f t="shared" si="0"/>
        <v>1</v>
      </c>
      <c r="R31" s="96">
        <f>SUBTOTAL(109,R4:R30)</f>
        <v>4784</v>
      </c>
    </row>
  </sheetData>
  <mergeCells count="3">
    <mergeCell ref="B2:B3"/>
    <mergeCell ref="C2:Q2"/>
    <mergeCell ref="R2:R3"/>
  </mergeCell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1E28-4725-4D27-96EE-F006574F9ABD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4B03-E561-4E21-8112-BDFFAD84D4D5}">
  <dimension ref="B2:U28"/>
  <sheetViews>
    <sheetView tabSelected="1" workbookViewId="0">
      <selection activeCell="J13" sqref="J13"/>
    </sheetView>
  </sheetViews>
  <sheetFormatPr baseColWidth="10" defaultRowHeight="15" x14ac:dyDescent="0.25"/>
  <cols>
    <col min="2" max="2" width="22.42578125" customWidth="1"/>
  </cols>
  <sheetData>
    <row r="2" spans="2:21" ht="15.75" thickBot="1" x14ac:dyDescent="0.3"/>
    <row r="3" spans="2:21" x14ac:dyDescent="0.25">
      <c r="B3" s="121" t="s">
        <v>84</v>
      </c>
      <c r="C3" s="122" t="s">
        <v>61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4"/>
      <c r="U3" s="125" t="s">
        <v>85</v>
      </c>
    </row>
    <row r="4" spans="2:21" ht="15.75" thickBot="1" x14ac:dyDescent="0.3">
      <c r="B4" s="126"/>
      <c r="C4" s="127">
        <v>2003</v>
      </c>
      <c r="D4" s="128">
        <v>2004</v>
      </c>
      <c r="E4" s="128">
        <v>2005</v>
      </c>
      <c r="F4" s="128">
        <v>2006</v>
      </c>
      <c r="G4" s="128">
        <v>2007</v>
      </c>
      <c r="H4" s="128">
        <v>2008</v>
      </c>
      <c r="I4" s="128">
        <v>2009</v>
      </c>
      <c r="J4" s="128">
        <v>2010</v>
      </c>
      <c r="K4" s="128">
        <v>2011</v>
      </c>
      <c r="L4" s="128">
        <v>2012</v>
      </c>
      <c r="M4" s="128">
        <v>2013</v>
      </c>
      <c r="N4" s="128">
        <v>2014</v>
      </c>
      <c r="O4" s="128">
        <v>2015</v>
      </c>
      <c r="P4" s="128">
        <v>2016</v>
      </c>
      <c r="Q4" s="128">
        <v>2017</v>
      </c>
      <c r="R4" s="128">
        <v>2018</v>
      </c>
      <c r="S4" s="128">
        <v>2019</v>
      </c>
      <c r="T4" s="128">
        <v>2020</v>
      </c>
      <c r="U4" s="129"/>
    </row>
    <row r="5" spans="2:21" ht="36.75" thickBot="1" x14ac:dyDescent="0.3">
      <c r="B5" s="130" t="s">
        <v>4</v>
      </c>
      <c r="C5" s="131" t="s">
        <v>59</v>
      </c>
      <c r="D5" s="131" t="s">
        <v>59</v>
      </c>
      <c r="E5" s="131" t="s">
        <v>59</v>
      </c>
      <c r="F5" s="131">
        <v>2</v>
      </c>
      <c r="G5" s="131">
        <v>1</v>
      </c>
      <c r="H5" s="131">
        <v>4</v>
      </c>
      <c r="I5" s="131">
        <v>52</v>
      </c>
      <c r="J5" s="131">
        <v>47</v>
      </c>
      <c r="K5" s="131">
        <v>27</v>
      </c>
      <c r="L5" s="131">
        <v>116</v>
      </c>
      <c r="M5" s="131">
        <v>78</v>
      </c>
      <c r="N5" s="131">
        <v>68</v>
      </c>
      <c r="O5" s="131">
        <v>12</v>
      </c>
      <c r="P5" s="131">
        <v>19</v>
      </c>
      <c r="Q5" s="131">
        <v>7</v>
      </c>
      <c r="R5" s="131">
        <v>4</v>
      </c>
      <c r="S5" s="131">
        <v>1</v>
      </c>
      <c r="T5" s="131">
        <v>4</v>
      </c>
      <c r="U5" s="132">
        <f>SUM(C5:T5)</f>
        <v>442</v>
      </c>
    </row>
    <row r="6" spans="2:21" ht="36.75" thickBot="1" x14ac:dyDescent="0.3">
      <c r="B6" s="130" t="s">
        <v>13</v>
      </c>
      <c r="C6" s="131" t="s">
        <v>59</v>
      </c>
      <c r="D6" s="131" t="s">
        <v>59</v>
      </c>
      <c r="E6" s="131" t="s">
        <v>59</v>
      </c>
      <c r="F6" s="131" t="s">
        <v>59</v>
      </c>
      <c r="G6" s="131" t="s">
        <v>59</v>
      </c>
      <c r="H6" s="131">
        <v>4</v>
      </c>
      <c r="I6" s="131">
        <v>9</v>
      </c>
      <c r="J6" s="131">
        <v>56</v>
      </c>
      <c r="K6" s="131">
        <v>69</v>
      </c>
      <c r="L6" s="131">
        <v>52</v>
      </c>
      <c r="M6" s="131">
        <v>5</v>
      </c>
      <c r="N6" s="131">
        <v>13</v>
      </c>
      <c r="O6" s="131">
        <v>16</v>
      </c>
      <c r="P6" s="131">
        <v>11</v>
      </c>
      <c r="Q6" s="131">
        <v>56</v>
      </c>
      <c r="R6" s="131">
        <v>9</v>
      </c>
      <c r="S6" s="131">
        <v>6</v>
      </c>
      <c r="T6" s="131">
        <v>8</v>
      </c>
      <c r="U6" s="132">
        <f t="shared" ref="U6:U23" si="0">SUM(C6:T6)</f>
        <v>314</v>
      </c>
    </row>
    <row r="7" spans="2:21" ht="36.75" thickBot="1" x14ac:dyDescent="0.3">
      <c r="B7" s="130" t="s">
        <v>21</v>
      </c>
      <c r="C7" s="131" t="s">
        <v>59</v>
      </c>
      <c r="D7" s="131" t="s">
        <v>59</v>
      </c>
      <c r="E7" s="131" t="s">
        <v>59</v>
      </c>
      <c r="F7" s="131" t="s">
        <v>59</v>
      </c>
      <c r="G7" s="131" t="s">
        <v>59</v>
      </c>
      <c r="H7" s="131" t="s">
        <v>59</v>
      </c>
      <c r="I7" s="131">
        <v>6</v>
      </c>
      <c r="J7" s="131">
        <v>15</v>
      </c>
      <c r="K7" s="131">
        <v>28</v>
      </c>
      <c r="L7" s="131">
        <v>25</v>
      </c>
      <c r="M7" s="131" t="s">
        <v>59</v>
      </c>
      <c r="N7" s="131" t="s">
        <v>59</v>
      </c>
      <c r="O7" s="131">
        <v>4</v>
      </c>
      <c r="P7" s="131">
        <v>7</v>
      </c>
      <c r="Q7" s="131">
        <v>8</v>
      </c>
      <c r="R7" s="131">
        <v>4</v>
      </c>
      <c r="S7" s="131" t="s">
        <v>59</v>
      </c>
      <c r="T7" s="131" t="s">
        <v>59</v>
      </c>
      <c r="U7" s="132">
        <f t="shared" si="0"/>
        <v>97</v>
      </c>
    </row>
    <row r="8" spans="2:21" ht="15.75" thickBot="1" x14ac:dyDescent="0.3">
      <c r="B8" s="130" t="s">
        <v>15</v>
      </c>
      <c r="C8" s="131" t="s">
        <v>59</v>
      </c>
      <c r="D8" s="131" t="s">
        <v>59</v>
      </c>
      <c r="E8" s="131" t="s">
        <v>59</v>
      </c>
      <c r="F8" s="131" t="s">
        <v>59</v>
      </c>
      <c r="G8" s="131" t="s">
        <v>59</v>
      </c>
      <c r="H8" s="131">
        <v>2</v>
      </c>
      <c r="I8" s="131" t="s">
        <v>59</v>
      </c>
      <c r="J8" s="131" t="s">
        <v>59</v>
      </c>
      <c r="K8" s="131">
        <v>2</v>
      </c>
      <c r="L8" s="131">
        <v>12</v>
      </c>
      <c r="M8" s="131">
        <v>16</v>
      </c>
      <c r="N8" s="131">
        <v>4</v>
      </c>
      <c r="O8" s="131">
        <v>22</v>
      </c>
      <c r="P8" s="131" t="s">
        <v>59</v>
      </c>
      <c r="Q8" s="131">
        <v>2</v>
      </c>
      <c r="R8" s="131">
        <v>1</v>
      </c>
      <c r="S8" s="131" t="s">
        <v>59</v>
      </c>
      <c r="T8" s="131" t="s">
        <v>59</v>
      </c>
      <c r="U8" s="132">
        <f t="shared" si="0"/>
        <v>61</v>
      </c>
    </row>
    <row r="9" spans="2:21" ht="27.75" thickBot="1" x14ac:dyDescent="0.3">
      <c r="B9" s="130" t="s">
        <v>5</v>
      </c>
      <c r="C9" s="131" t="s">
        <v>59</v>
      </c>
      <c r="D9" s="131" t="s">
        <v>59</v>
      </c>
      <c r="E9" s="131">
        <v>1</v>
      </c>
      <c r="F9" s="131" t="s">
        <v>59</v>
      </c>
      <c r="G9" s="131" t="s">
        <v>59</v>
      </c>
      <c r="H9" s="131">
        <v>1</v>
      </c>
      <c r="I9" s="131">
        <v>3</v>
      </c>
      <c r="J9" s="131">
        <v>9</v>
      </c>
      <c r="K9" s="131">
        <v>7</v>
      </c>
      <c r="L9" s="131">
        <v>6</v>
      </c>
      <c r="M9" s="131" t="s">
        <v>59</v>
      </c>
      <c r="N9" s="131">
        <v>1</v>
      </c>
      <c r="O9" s="131">
        <v>1</v>
      </c>
      <c r="P9" s="131" t="s">
        <v>59</v>
      </c>
      <c r="Q9" s="131">
        <v>1</v>
      </c>
      <c r="R9" s="131" t="s">
        <v>59</v>
      </c>
      <c r="S9" s="131" t="s">
        <v>59</v>
      </c>
      <c r="T9" s="131" t="s">
        <v>59</v>
      </c>
      <c r="U9" s="132">
        <f t="shared" si="0"/>
        <v>30</v>
      </c>
    </row>
    <row r="10" spans="2:21" ht="45.75" thickBot="1" x14ac:dyDescent="0.3">
      <c r="B10" s="130" t="s">
        <v>8</v>
      </c>
      <c r="C10" s="131" t="s">
        <v>59</v>
      </c>
      <c r="D10" s="131" t="s">
        <v>59</v>
      </c>
      <c r="E10" s="131" t="s">
        <v>59</v>
      </c>
      <c r="F10" s="131" t="s">
        <v>59</v>
      </c>
      <c r="G10" s="131" t="s">
        <v>59</v>
      </c>
      <c r="H10" s="131" t="s">
        <v>59</v>
      </c>
      <c r="I10" s="131" t="s">
        <v>59</v>
      </c>
      <c r="J10" s="131" t="s">
        <v>59</v>
      </c>
      <c r="K10" s="131" t="s">
        <v>59</v>
      </c>
      <c r="L10" s="131">
        <v>2</v>
      </c>
      <c r="M10" s="131">
        <v>2</v>
      </c>
      <c r="N10" s="131">
        <v>4</v>
      </c>
      <c r="O10" s="131">
        <v>3</v>
      </c>
      <c r="P10" s="131">
        <v>4</v>
      </c>
      <c r="Q10" s="131">
        <v>1</v>
      </c>
      <c r="R10" s="131">
        <v>6</v>
      </c>
      <c r="S10" s="131" t="s">
        <v>59</v>
      </c>
      <c r="T10" s="131" t="s">
        <v>59</v>
      </c>
      <c r="U10" s="132">
        <f t="shared" si="0"/>
        <v>22</v>
      </c>
    </row>
    <row r="11" spans="2:21" ht="18.75" thickBot="1" x14ac:dyDescent="0.3">
      <c r="B11" s="130" t="s">
        <v>9</v>
      </c>
      <c r="C11" s="131" t="s">
        <v>59</v>
      </c>
      <c r="D11" s="131" t="s">
        <v>59</v>
      </c>
      <c r="E11" s="131" t="s">
        <v>59</v>
      </c>
      <c r="F11" s="131" t="s">
        <v>59</v>
      </c>
      <c r="G11" s="131" t="s">
        <v>59</v>
      </c>
      <c r="H11" s="131" t="s">
        <v>59</v>
      </c>
      <c r="I11" s="131">
        <v>6</v>
      </c>
      <c r="J11" s="131">
        <v>1</v>
      </c>
      <c r="K11" s="131">
        <v>2</v>
      </c>
      <c r="L11" s="131">
        <v>5</v>
      </c>
      <c r="M11" s="131" t="s">
        <v>59</v>
      </c>
      <c r="N11" s="131" t="s">
        <v>59</v>
      </c>
      <c r="O11" s="131" t="s">
        <v>59</v>
      </c>
      <c r="P11" s="131" t="s">
        <v>59</v>
      </c>
      <c r="Q11" s="131">
        <v>5</v>
      </c>
      <c r="R11" s="131" t="s">
        <v>59</v>
      </c>
      <c r="S11" s="131" t="s">
        <v>59</v>
      </c>
      <c r="T11" s="131">
        <v>3</v>
      </c>
      <c r="U11" s="132">
        <f t="shared" si="0"/>
        <v>22</v>
      </c>
    </row>
    <row r="12" spans="2:21" ht="15.75" thickBot="1" x14ac:dyDescent="0.3">
      <c r="B12" s="130" t="s">
        <v>24</v>
      </c>
      <c r="C12" s="131" t="s">
        <v>59</v>
      </c>
      <c r="D12" s="131" t="s">
        <v>59</v>
      </c>
      <c r="E12" s="131" t="s">
        <v>59</v>
      </c>
      <c r="F12" s="131" t="s">
        <v>59</v>
      </c>
      <c r="G12" s="131" t="s">
        <v>59</v>
      </c>
      <c r="H12" s="131" t="s">
        <v>59</v>
      </c>
      <c r="I12" s="131" t="s">
        <v>59</v>
      </c>
      <c r="J12" s="131" t="s">
        <v>59</v>
      </c>
      <c r="K12" s="131" t="s">
        <v>59</v>
      </c>
      <c r="L12" s="131" t="s">
        <v>59</v>
      </c>
      <c r="M12" s="131" t="s">
        <v>59</v>
      </c>
      <c r="N12" s="131" t="s">
        <v>59</v>
      </c>
      <c r="O12" s="131" t="s">
        <v>59</v>
      </c>
      <c r="P12" s="131" t="s">
        <v>59</v>
      </c>
      <c r="Q12" s="131">
        <v>5</v>
      </c>
      <c r="R12" s="131">
        <v>13</v>
      </c>
      <c r="S12" s="131" t="s">
        <v>59</v>
      </c>
      <c r="T12" s="131" t="s">
        <v>59</v>
      </c>
      <c r="U12" s="132">
        <f t="shared" si="0"/>
        <v>18</v>
      </c>
    </row>
    <row r="13" spans="2:21" ht="45.75" thickBot="1" x14ac:dyDescent="0.3">
      <c r="B13" s="130" t="s">
        <v>10</v>
      </c>
      <c r="C13" s="131" t="s">
        <v>59</v>
      </c>
      <c r="D13" s="131">
        <v>1</v>
      </c>
      <c r="E13" s="131" t="s">
        <v>59</v>
      </c>
      <c r="F13" s="131" t="s">
        <v>59</v>
      </c>
      <c r="G13" s="131">
        <v>1</v>
      </c>
      <c r="H13" s="131" t="s">
        <v>59</v>
      </c>
      <c r="I13" s="131" t="s">
        <v>59</v>
      </c>
      <c r="J13" s="131">
        <v>2</v>
      </c>
      <c r="K13" s="131">
        <v>8</v>
      </c>
      <c r="L13" s="131" t="s">
        <v>59</v>
      </c>
      <c r="M13" s="131" t="s">
        <v>59</v>
      </c>
      <c r="N13" s="131" t="s">
        <v>59</v>
      </c>
      <c r="O13" s="131" t="s">
        <v>59</v>
      </c>
      <c r="P13" s="131">
        <v>1</v>
      </c>
      <c r="Q13" s="131">
        <v>3</v>
      </c>
      <c r="R13" s="131">
        <v>1</v>
      </c>
      <c r="S13" s="131" t="s">
        <v>59</v>
      </c>
      <c r="T13" s="131" t="s">
        <v>59</v>
      </c>
      <c r="U13" s="132">
        <f t="shared" si="0"/>
        <v>17</v>
      </c>
    </row>
    <row r="14" spans="2:21" ht="15.75" thickBot="1" x14ac:dyDescent="0.3">
      <c r="B14" s="130" t="s">
        <v>16</v>
      </c>
      <c r="C14" s="131" t="s">
        <v>59</v>
      </c>
      <c r="D14" s="131" t="s">
        <v>59</v>
      </c>
      <c r="E14" s="131">
        <v>2</v>
      </c>
      <c r="F14" s="131" t="s">
        <v>59</v>
      </c>
      <c r="G14" s="131" t="s">
        <v>59</v>
      </c>
      <c r="H14" s="131" t="s">
        <v>59</v>
      </c>
      <c r="I14" s="131">
        <v>3</v>
      </c>
      <c r="J14" s="131">
        <v>9</v>
      </c>
      <c r="K14" s="131">
        <v>2</v>
      </c>
      <c r="L14" s="131" t="s">
        <v>59</v>
      </c>
      <c r="M14" s="131" t="s">
        <v>59</v>
      </c>
      <c r="N14" s="131" t="s">
        <v>59</v>
      </c>
      <c r="O14" s="131" t="s">
        <v>59</v>
      </c>
      <c r="P14" s="131" t="s">
        <v>59</v>
      </c>
      <c r="Q14" s="131" t="s">
        <v>59</v>
      </c>
      <c r="R14" s="131" t="s">
        <v>59</v>
      </c>
      <c r="S14" s="131" t="s">
        <v>59</v>
      </c>
      <c r="T14" s="131" t="s">
        <v>59</v>
      </c>
      <c r="U14" s="132">
        <f t="shared" si="0"/>
        <v>16</v>
      </c>
    </row>
    <row r="15" spans="2:21" ht="36.75" thickBot="1" x14ac:dyDescent="0.3">
      <c r="B15" s="130" t="s">
        <v>12</v>
      </c>
      <c r="C15" s="131" t="s">
        <v>59</v>
      </c>
      <c r="D15" s="131" t="s">
        <v>59</v>
      </c>
      <c r="E15" s="131" t="s">
        <v>59</v>
      </c>
      <c r="F15" s="131" t="s">
        <v>59</v>
      </c>
      <c r="G15" s="131" t="s">
        <v>59</v>
      </c>
      <c r="H15" s="131" t="s">
        <v>59</v>
      </c>
      <c r="I15" s="131">
        <v>9</v>
      </c>
      <c r="J15" s="131" t="s">
        <v>59</v>
      </c>
      <c r="K15" s="131" t="s">
        <v>59</v>
      </c>
      <c r="L15" s="131">
        <v>2</v>
      </c>
      <c r="M15" s="131" t="s">
        <v>59</v>
      </c>
      <c r="N15" s="131" t="s">
        <v>59</v>
      </c>
      <c r="O15" s="131" t="s">
        <v>59</v>
      </c>
      <c r="P15" s="131">
        <v>1</v>
      </c>
      <c r="Q15" s="131" t="s">
        <v>59</v>
      </c>
      <c r="R15" s="131" t="s">
        <v>59</v>
      </c>
      <c r="S15" s="131" t="s">
        <v>59</v>
      </c>
      <c r="T15" s="131" t="s">
        <v>59</v>
      </c>
      <c r="U15" s="132">
        <f t="shared" si="0"/>
        <v>12</v>
      </c>
    </row>
    <row r="16" spans="2:21" ht="18.75" thickBot="1" x14ac:dyDescent="0.3">
      <c r="B16" s="130" t="s">
        <v>20</v>
      </c>
      <c r="C16" s="131" t="s">
        <v>59</v>
      </c>
      <c r="D16" s="131">
        <v>2</v>
      </c>
      <c r="E16" s="131" t="s">
        <v>59</v>
      </c>
      <c r="F16" s="131" t="s">
        <v>59</v>
      </c>
      <c r="G16" s="131" t="s">
        <v>59</v>
      </c>
      <c r="H16" s="131" t="s">
        <v>59</v>
      </c>
      <c r="I16" s="131" t="s">
        <v>59</v>
      </c>
      <c r="J16" s="131" t="s">
        <v>59</v>
      </c>
      <c r="K16" s="131" t="s">
        <v>59</v>
      </c>
      <c r="L16" s="131">
        <v>1</v>
      </c>
      <c r="M16" s="131" t="s">
        <v>59</v>
      </c>
      <c r="N16" s="131">
        <v>1</v>
      </c>
      <c r="O16" s="131">
        <v>1</v>
      </c>
      <c r="P16" s="131">
        <v>1</v>
      </c>
      <c r="Q16" s="131" t="s">
        <v>59</v>
      </c>
      <c r="R16" s="131">
        <v>3</v>
      </c>
      <c r="S16" s="131" t="s">
        <v>59</v>
      </c>
      <c r="T16" s="131" t="s">
        <v>59</v>
      </c>
      <c r="U16" s="132">
        <f t="shared" si="0"/>
        <v>9</v>
      </c>
    </row>
    <row r="17" spans="2:21" ht="36.75" thickBot="1" x14ac:dyDescent="0.3">
      <c r="B17" s="130" t="s">
        <v>6</v>
      </c>
      <c r="C17" s="131" t="s">
        <v>59</v>
      </c>
      <c r="D17" s="131" t="s">
        <v>59</v>
      </c>
      <c r="E17" s="131" t="s">
        <v>59</v>
      </c>
      <c r="F17" s="131" t="s">
        <v>59</v>
      </c>
      <c r="G17" s="131" t="s">
        <v>59</v>
      </c>
      <c r="H17" s="131" t="s">
        <v>59</v>
      </c>
      <c r="I17" s="131" t="s">
        <v>59</v>
      </c>
      <c r="J17" s="131" t="s">
        <v>59</v>
      </c>
      <c r="K17" s="131" t="s">
        <v>59</v>
      </c>
      <c r="L17" s="131" t="s">
        <v>59</v>
      </c>
      <c r="M17" s="131" t="s">
        <v>59</v>
      </c>
      <c r="N17" s="131" t="s">
        <v>59</v>
      </c>
      <c r="O17" s="131">
        <v>2</v>
      </c>
      <c r="P17" s="131">
        <v>4</v>
      </c>
      <c r="Q17" s="131" t="s">
        <v>59</v>
      </c>
      <c r="R17" s="131">
        <v>1</v>
      </c>
      <c r="S17" s="131" t="s">
        <v>59</v>
      </c>
      <c r="T17" s="131" t="s">
        <v>59</v>
      </c>
      <c r="U17" s="132">
        <f t="shared" si="0"/>
        <v>7</v>
      </c>
    </row>
    <row r="18" spans="2:21" ht="54.75" thickBot="1" x14ac:dyDescent="0.3">
      <c r="B18" s="130" t="s">
        <v>7</v>
      </c>
      <c r="C18" s="131" t="s">
        <v>59</v>
      </c>
      <c r="D18" s="131" t="s">
        <v>59</v>
      </c>
      <c r="E18" s="131" t="s">
        <v>59</v>
      </c>
      <c r="F18" s="131">
        <v>2</v>
      </c>
      <c r="G18" s="131" t="s">
        <v>59</v>
      </c>
      <c r="H18" s="131" t="s">
        <v>59</v>
      </c>
      <c r="I18" s="131" t="s">
        <v>59</v>
      </c>
      <c r="J18" s="131">
        <v>1</v>
      </c>
      <c r="K18" s="131" t="s">
        <v>59</v>
      </c>
      <c r="L18" s="131" t="s">
        <v>59</v>
      </c>
      <c r="M18" s="131" t="s">
        <v>59</v>
      </c>
      <c r="N18" s="131">
        <v>1</v>
      </c>
      <c r="O18" s="131" t="s">
        <v>59</v>
      </c>
      <c r="P18" s="131" t="s">
        <v>59</v>
      </c>
      <c r="Q18" s="131">
        <v>1</v>
      </c>
      <c r="R18" s="131">
        <v>1</v>
      </c>
      <c r="S18" s="131" t="s">
        <v>59</v>
      </c>
      <c r="T18" s="131" t="s">
        <v>59</v>
      </c>
      <c r="U18" s="132">
        <f t="shared" si="0"/>
        <v>6</v>
      </c>
    </row>
    <row r="19" spans="2:21" ht="15.75" thickBot="1" x14ac:dyDescent="0.3">
      <c r="B19" s="130" t="s">
        <v>18</v>
      </c>
      <c r="C19" s="131" t="s">
        <v>59</v>
      </c>
      <c r="D19" s="131" t="s">
        <v>59</v>
      </c>
      <c r="E19" s="131" t="s">
        <v>59</v>
      </c>
      <c r="F19" s="131" t="s">
        <v>59</v>
      </c>
      <c r="G19" s="131" t="s">
        <v>59</v>
      </c>
      <c r="H19" s="131" t="s">
        <v>59</v>
      </c>
      <c r="I19" s="131" t="s">
        <v>59</v>
      </c>
      <c r="J19" s="131" t="s">
        <v>59</v>
      </c>
      <c r="K19" s="131" t="s">
        <v>59</v>
      </c>
      <c r="L19" s="131" t="s">
        <v>59</v>
      </c>
      <c r="M19" s="131">
        <v>1</v>
      </c>
      <c r="N19" s="131">
        <v>2</v>
      </c>
      <c r="O19" s="131" t="s">
        <v>59</v>
      </c>
      <c r="P19" s="131" t="s">
        <v>59</v>
      </c>
      <c r="Q19" s="131">
        <v>1</v>
      </c>
      <c r="R19" s="131" t="s">
        <v>59</v>
      </c>
      <c r="S19" s="131" t="s">
        <v>59</v>
      </c>
      <c r="T19" s="131" t="s">
        <v>59</v>
      </c>
      <c r="U19" s="132">
        <f t="shared" si="0"/>
        <v>4</v>
      </c>
    </row>
    <row r="20" spans="2:21" ht="15.75" thickBot="1" x14ac:dyDescent="0.3">
      <c r="B20" s="130" t="s">
        <v>11</v>
      </c>
      <c r="C20" s="131">
        <v>1</v>
      </c>
      <c r="D20" s="131">
        <v>1</v>
      </c>
      <c r="E20" s="131" t="s">
        <v>59</v>
      </c>
      <c r="F20" s="131" t="s">
        <v>59</v>
      </c>
      <c r="G20" s="131" t="s">
        <v>59</v>
      </c>
      <c r="H20" s="131" t="s">
        <v>59</v>
      </c>
      <c r="I20" s="131" t="s">
        <v>59</v>
      </c>
      <c r="J20" s="131" t="s">
        <v>59</v>
      </c>
      <c r="K20" s="131" t="s">
        <v>59</v>
      </c>
      <c r="L20" s="131" t="s">
        <v>59</v>
      </c>
      <c r="M20" s="131" t="s">
        <v>59</v>
      </c>
      <c r="N20" s="131" t="s">
        <v>59</v>
      </c>
      <c r="O20" s="131" t="s">
        <v>59</v>
      </c>
      <c r="P20" s="131" t="s">
        <v>59</v>
      </c>
      <c r="Q20" s="131" t="s">
        <v>59</v>
      </c>
      <c r="R20" s="131" t="s">
        <v>59</v>
      </c>
      <c r="S20" s="131" t="s">
        <v>59</v>
      </c>
      <c r="T20" s="131" t="s">
        <v>59</v>
      </c>
      <c r="U20" s="132">
        <f t="shared" si="0"/>
        <v>2</v>
      </c>
    </row>
    <row r="21" spans="2:21" ht="18.75" thickBot="1" x14ac:dyDescent="0.3">
      <c r="B21" s="130" t="s">
        <v>29</v>
      </c>
      <c r="C21" s="131" t="s">
        <v>59</v>
      </c>
      <c r="D21" s="131" t="s">
        <v>59</v>
      </c>
      <c r="E21" s="131" t="s">
        <v>59</v>
      </c>
      <c r="F21" s="131" t="s">
        <v>59</v>
      </c>
      <c r="G21" s="131" t="s">
        <v>59</v>
      </c>
      <c r="H21" s="131" t="s">
        <v>59</v>
      </c>
      <c r="I21" s="131" t="s">
        <v>59</v>
      </c>
      <c r="J21" s="131" t="s">
        <v>59</v>
      </c>
      <c r="K21" s="131">
        <v>2</v>
      </c>
      <c r="L21" s="131" t="s">
        <v>59</v>
      </c>
      <c r="M21" s="131" t="s">
        <v>59</v>
      </c>
      <c r="N21" s="131" t="s">
        <v>59</v>
      </c>
      <c r="O21" s="131" t="s">
        <v>59</v>
      </c>
      <c r="P21" s="131" t="s">
        <v>59</v>
      </c>
      <c r="Q21" s="131" t="s">
        <v>59</v>
      </c>
      <c r="R21" s="131" t="s">
        <v>59</v>
      </c>
      <c r="S21" s="131" t="s">
        <v>59</v>
      </c>
      <c r="T21" s="131" t="s">
        <v>59</v>
      </c>
      <c r="U21" s="132">
        <f t="shared" si="0"/>
        <v>2</v>
      </c>
    </row>
    <row r="22" spans="2:21" ht="18.75" thickBot="1" x14ac:dyDescent="0.3">
      <c r="B22" s="130" t="s">
        <v>23</v>
      </c>
      <c r="C22" s="131" t="s">
        <v>59</v>
      </c>
      <c r="D22" s="131" t="s">
        <v>59</v>
      </c>
      <c r="E22" s="131" t="s">
        <v>59</v>
      </c>
      <c r="F22" s="131" t="s">
        <v>59</v>
      </c>
      <c r="G22" s="131" t="s">
        <v>59</v>
      </c>
      <c r="H22" s="131" t="s">
        <v>59</v>
      </c>
      <c r="I22" s="131" t="s">
        <v>59</v>
      </c>
      <c r="J22" s="131" t="s">
        <v>59</v>
      </c>
      <c r="K22" s="131" t="s">
        <v>59</v>
      </c>
      <c r="L22" s="131" t="s">
        <v>59</v>
      </c>
      <c r="M22" s="131" t="s">
        <v>59</v>
      </c>
      <c r="N22" s="131" t="s">
        <v>59</v>
      </c>
      <c r="O22" s="131">
        <v>1</v>
      </c>
      <c r="P22" s="131" t="s">
        <v>59</v>
      </c>
      <c r="Q22" s="131" t="s">
        <v>59</v>
      </c>
      <c r="R22" s="131" t="s">
        <v>59</v>
      </c>
      <c r="S22" s="131" t="s">
        <v>59</v>
      </c>
      <c r="T22" s="131" t="s">
        <v>59</v>
      </c>
      <c r="U22" s="132">
        <f t="shared" si="0"/>
        <v>1</v>
      </c>
    </row>
    <row r="23" spans="2:21" ht="18.75" thickBot="1" x14ac:dyDescent="0.3">
      <c r="B23" s="130" t="s">
        <v>26</v>
      </c>
      <c r="C23" s="131" t="s">
        <v>59</v>
      </c>
      <c r="D23" s="131" t="s">
        <v>59</v>
      </c>
      <c r="E23" s="131" t="s">
        <v>59</v>
      </c>
      <c r="F23" s="131" t="s">
        <v>59</v>
      </c>
      <c r="G23" s="131" t="s">
        <v>59</v>
      </c>
      <c r="H23" s="131" t="s">
        <v>59</v>
      </c>
      <c r="I23" s="131" t="s">
        <v>59</v>
      </c>
      <c r="J23" s="131" t="s">
        <v>59</v>
      </c>
      <c r="K23" s="131" t="s">
        <v>59</v>
      </c>
      <c r="L23" s="131" t="s">
        <v>59</v>
      </c>
      <c r="M23" s="131">
        <v>1</v>
      </c>
      <c r="N23" s="131" t="s">
        <v>59</v>
      </c>
      <c r="O23" s="131" t="s">
        <v>59</v>
      </c>
      <c r="P23" s="131" t="s">
        <v>59</v>
      </c>
      <c r="Q23" s="131" t="s">
        <v>59</v>
      </c>
      <c r="R23" s="131" t="s">
        <v>59</v>
      </c>
      <c r="S23" s="131" t="s">
        <v>59</v>
      </c>
      <c r="T23" s="131" t="s">
        <v>59</v>
      </c>
      <c r="U23" s="132">
        <f t="shared" si="0"/>
        <v>1</v>
      </c>
    </row>
    <row r="24" spans="2:21" ht="15.75" thickBot="1" x14ac:dyDescent="0.3">
      <c r="B24" s="133" t="s">
        <v>85</v>
      </c>
      <c r="C24" s="134">
        <f>SUM(C5:C23)</f>
        <v>1</v>
      </c>
      <c r="D24" s="134">
        <f>SUM(D5:D23)</f>
        <v>4</v>
      </c>
      <c r="E24" s="134">
        <f>SUM(E5:E23)</f>
        <v>3</v>
      </c>
      <c r="F24" s="134">
        <f>SUM(F5:F23)</f>
        <v>4</v>
      </c>
      <c r="G24" s="134">
        <f>SUM(G5:G23)</f>
        <v>2</v>
      </c>
      <c r="H24" s="134">
        <f>SUM(H5:H23)</f>
        <v>11</v>
      </c>
      <c r="I24" s="134">
        <f>SUM(I5:I23)</f>
        <v>88</v>
      </c>
      <c r="J24" s="134">
        <f>SUM(J5:J23)</f>
        <v>140</v>
      </c>
      <c r="K24" s="134">
        <f>SUM(K5:K23)</f>
        <v>147</v>
      </c>
      <c r="L24" s="134">
        <f>SUM(L5:L23)</f>
        <v>221</v>
      </c>
      <c r="M24" s="134">
        <f>SUM(M5:M23)</f>
        <v>103</v>
      </c>
      <c r="N24" s="134">
        <f>SUM(N5:N23)</f>
        <v>94</v>
      </c>
      <c r="O24" s="134">
        <f>SUM(O5:O23)</f>
        <v>62</v>
      </c>
      <c r="P24" s="134">
        <f>SUM(P5:P23)</f>
        <v>48</v>
      </c>
      <c r="Q24" s="134">
        <f>SUM(Q5:Q23)</f>
        <v>90</v>
      </c>
      <c r="R24" s="134">
        <f>SUM(R5:R23)</f>
        <v>43</v>
      </c>
      <c r="S24" s="134">
        <f>SUM(S5:S23)</f>
        <v>7</v>
      </c>
      <c r="T24" s="134">
        <f>SUM(T5:T23)</f>
        <v>15</v>
      </c>
      <c r="U24" s="134">
        <f>SUM(U5:U23)</f>
        <v>1083</v>
      </c>
    </row>
    <row r="25" spans="2:21" ht="36" x14ac:dyDescent="0.25">
      <c r="B25" s="135" t="s">
        <v>4</v>
      </c>
      <c r="C25" s="136" t="s">
        <v>59</v>
      </c>
      <c r="D25" s="136" t="s">
        <v>59</v>
      </c>
      <c r="E25" s="136" t="s">
        <v>59</v>
      </c>
      <c r="F25" s="136" t="s">
        <v>59</v>
      </c>
      <c r="G25" s="136" t="s">
        <v>59</v>
      </c>
      <c r="H25" s="136">
        <v>24</v>
      </c>
      <c r="I25" s="136">
        <v>24</v>
      </c>
      <c r="J25" s="136">
        <v>20</v>
      </c>
      <c r="K25" s="136">
        <v>17</v>
      </c>
      <c r="L25" s="136" t="s">
        <v>59</v>
      </c>
      <c r="M25" s="136" t="s">
        <v>59</v>
      </c>
      <c r="N25" s="136" t="s">
        <v>59</v>
      </c>
      <c r="O25" s="136" t="s">
        <v>59</v>
      </c>
      <c r="P25" s="136" t="s">
        <v>59</v>
      </c>
      <c r="Q25" s="136" t="s">
        <v>59</v>
      </c>
      <c r="R25" s="136" t="s">
        <v>59</v>
      </c>
      <c r="S25" s="136"/>
      <c r="T25" s="136"/>
      <c r="U25" s="137">
        <v>85</v>
      </c>
    </row>
    <row r="26" spans="2:21" ht="27.75" thickBot="1" x14ac:dyDescent="0.3">
      <c r="B26" s="130" t="s">
        <v>86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9"/>
    </row>
    <row r="27" spans="2:21" ht="15.75" thickBot="1" x14ac:dyDescent="0.3">
      <c r="B27" s="133" t="s">
        <v>85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24</v>
      </c>
      <c r="I27" s="134">
        <v>24</v>
      </c>
      <c r="J27" s="134">
        <v>20</v>
      </c>
      <c r="K27" s="134">
        <v>17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/>
      <c r="T27" s="134"/>
      <c r="U27" s="134">
        <v>85</v>
      </c>
    </row>
    <row r="28" spans="2:21" ht="15.75" thickBot="1" x14ac:dyDescent="0.3">
      <c r="B28" s="130" t="s">
        <v>35</v>
      </c>
      <c r="C28" s="132">
        <f>C27+C24</f>
        <v>1</v>
      </c>
      <c r="D28" s="132">
        <f t="shared" ref="D28:T28" si="1">D27+D24</f>
        <v>4</v>
      </c>
      <c r="E28" s="132">
        <f t="shared" si="1"/>
        <v>3</v>
      </c>
      <c r="F28" s="132">
        <f t="shared" si="1"/>
        <v>4</v>
      </c>
      <c r="G28" s="132">
        <f t="shared" si="1"/>
        <v>2</v>
      </c>
      <c r="H28" s="132">
        <f t="shared" si="1"/>
        <v>35</v>
      </c>
      <c r="I28" s="132">
        <f t="shared" si="1"/>
        <v>112</v>
      </c>
      <c r="J28" s="132">
        <f t="shared" si="1"/>
        <v>160</v>
      </c>
      <c r="K28" s="132">
        <f t="shared" si="1"/>
        <v>164</v>
      </c>
      <c r="L28" s="132">
        <f t="shared" si="1"/>
        <v>221</v>
      </c>
      <c r="M28" s="132">
        <f t="shared" si="1"/>
        <v>103</v>
      </c>
      <c r="N28" s="132">
        <f t="shared" si="1"/>
        <v>94</v>
      </c>
      <c r="O28" s="132">
        <f t="shared" si="1"/>
        <v>62</v>
      </c>
      <c r="P28" s="132">
        <f t="shared" si="1"/>
        <v>48</v>
      </c>
      <c r="Q28" s="132">
        <f t="shared" si="1"/>
        <v>90</v>
      </c>
      <c r="R28" s="132">
        <f t="shared" si="1"/>
        <v>43</v>
      </c>
      <c r="S28" s="132">
        <f t="shared" si="1"/>
        <v>7</v>
      </c>
      <c r="T28" s="132">
        <f t="shared" si="1"/>
        <v>15</v>
      </c>
      <c r="U28" s="140">
        <f>U24+U27</f>
        <v>1168</v>
      </c>
    </row>
  </sheetData>
  <mergeCells count="22">
    <mergeCell ref="P25:P26"/>
    <mergeCell ref="Q25:Q26"/>
    <mergeCell ref="R25:R26"/>
    <mergeCell ref="S25:S26"/>
    <mergeCell ref="T25:T26"/>
    <mergeCell ref="U25:U26"/>
    <mergeCell ref="J25:J26"/>
    <mergeCell ref="K25:K26"/>
    <mergeCell ref="L25:L26"/>
    <mergeCell ref="M25:M26"/>
    <mergeCell ref="N25:N26"/>
    <mergeCell ref="O25:O26"/>
    <mergeCell ref="B3:B4"/>
    <mergeCell ref="C3:T3"/>
    <mergeCell ref="U3:U4"/>
    <mergeCell ref="C25:C26"/>
    <mergeCell ref="D25:D26"/>
    <mergeCell ref="E25:E26"/>
    <mergeCell ref="F25:F26"/>
    <mergeCell ref="G25:G26"/>
    <mergeCell ref="H25:H26"/>
    <mergeCell ref="I25:I2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D022-4DC9-46BA-9541-E150E86421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5D75-0F52-4BEE-BC86-7BD329D5B18F}">
  <dimension ref="B3:Y36"/>
  <sheetViews>
    <sheetView workbookViewId="0">
      <selection activeCell="B1" sqref="B1:B1048576"/>
    </sheetView>
  </sheetViews>
  <sheetFormatPr baseColWidth="10" defaultRowHeight="15" x14ac:dyDescent="0.25"/>
  <cols>
    <col min="2" max="2" width="51.85546875" customWidth="1"/>
    <col min="3" max="25" width="7.7109375" customWidth="1"/>
  </cols>
  <sheetData>
    <row r="3" spans="2:25" x14ac:dyDescent="0.25">
      <c r="B3" s="13" t="s">
        <v>0</v>
      </c>
      <c r="C3" s="14" t="s">
        <v>36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7" t="s">
        <v>35</v>
      </c>
    </row>
    <row r="4" spans="2:25" x14ac:dyDescent="0.25">
      <c r="B4" s="18"/>
      <c r="C4" s="19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20" t="s">
        <v>44</v>
      </c>
      <c r="K4" s="20" t="s">
        <v>45</v>
      </c>
      <c r="L4" s="20" t="s">
        <v>46</v>
      </c>
      <c r="M4" s="20" t="s">
        <v>47</v>
      </c>
      <c r="N4" s="20" t="s">
        <v>48</v>
      </c>
      <c r="O4" s="20" t="s">
        <v>49</v>
      </c>
      <c r="P4" s="20" t="s">
        <v>50</v>
      </c>
      <c r="Q4" s="20" t="s">
        <v>51</v>
      </c>
      <c r="R4" s="20" t="s">
        <v>52</v>
      </c>
      <c r="S4" s="20" t="s">
        <v>53</v>
      </c>
      <c r="T4" s="20" t="s">
        <v>54</v>
      </c>
      <c r="U4" s="20" t="s">
        <v>55</v>
      </c>
      <c r="V4" s="21" t="s">
        <v>56</v>
      </c>
      <c r="W4" s="20" t="s">
        <v>57</v>
      </c>
      <c r="X4" s="20" t="s">
        <v>58</v>
      </c>
      <c r="Y4" s="22"/>
    </row>
    <row r="5" spans="2:25" x14ac:dyDescent="0.25">
      <c r="B5" s="23" t="s">
        <v>4</v>
      </c>
      <c r="C5" s="24">
        <v>67</v>
      </c>
      <c r="D5" s="24">
        <v>76</v>
      </c>
      <c r="E5" s="24">
        <v>78</v>
      </c>
      <c r="F5" s="24">
        <v>288</v>
      </c>
      <c r="G5" s="24">
        <v>357</v>
      </c>
      <c r="H5" s="24">
        <v>548</v>
      </c>
      <c r="I5" s="24">
        <v>517</v>
      </c>
      <c r="J5" s="24">
        <v>482</v>
      </c>
      <c r="K5" s="24">
        <v>556</v>
      </c>
      <c r="L5" s="24">
        <v>635</v>
      </c>
      <c r="M5" s="24">
        <v>676</v>
      </c>
      <c r="N5" s="24">
        <v>979</v>
      </c>
      <c r="O5" s="24">
        <v>1118</v>
      </c>
      <c r="P5" s="24">
        <v>1102</v>
      </c>
      <c r="Q5" s="24">
        <v>1321</v>
      </c>
      <c r="R5" s="24">
        <v>1130</v>
      </c>
      <c r="S5" s="24">
        <v>1275</v>
      </c>
      <c r="T5" s="24">
        <v>916</v>
      </c>
      <c r="U5" s="24">
        <v>1113</v>
      </c>
      <c r="V5" s="24">
        <v>1528</v>
      </c>
      <c r="W5" s="24">
        <v>1617</v>
      </c>
      <c r="X5" s="24">
        <v>31</v>
      </c>
      <c r="Y5" s="25">
        <f>SUM(Tabla9[[#This Row],[2002]:[2023]])</f>
        <v>16410</v>
      </c>
    </row>
    <row r="6" spans="2:25" x14ac:dyDescent="0.25">
      <c r="B6" s="23" t="s">
        <v>5</v>
      </c>
      <c r="C6" s="24">
        <v>56</v>
      </c>
      <c r="D6" s="24">
        <v>53</v>
      </c>
      <c r="E6" s="24">
        <v>74</v>
      </c>
      <c r="F6" s="24">
        <v>77</v>
      </c>
      <c r="G6" s="24">
        <v>83</v>
      </c>
      <c r="H6" s="24">
        <v>71</v>
      </c>
      <c r="I6" s="24">
        <v>84</v>
      </c>
      <c r="J6" s="24">
        <v>85</v>
      </c>
      <c r="K6" s="24">
        <v>86</v>
      </c>
      <c r="L6" s="24">
        <v>78</v>
      </c>
      <c r="M6" s="24">
        <v>74</v>
      </c>
      <c r="N6" s="24">
        <v>66</v>
      </c>
      <c r="O6" s="24">
        <v>70</v>
      </c>
      <c r="P6" s="24">
        <v>77</v>
      </c>
      <c r="Q6" s="24">
        <v>77</v>
      </c>
      <c r="R6" s="24">
        <v>75</v>
      </c>
      <c r="S6" s="24">
        <v>54</v>
      </c>
      <c r="T6" s="24">
        <v>47</v>
      </c>
      <c r="U6" s="24">
        <v>51</v>
      </c>
      <c r="V6" s="24">
        <v>42</v>
      </c>
      <c r="W6" s="24">
        <v>41</v>
      </c>
      <c r="X6" s="24">
        <v>5</v>
      </c>
      <c r="Y6" s="25">
        <f>SUM(Tabla9[[#This Row],[2002]:[2023]])</f>
        <v>1426</v>
      </c>
    </row>
    <row r="7" spans="2:25" x14ac:dyDescent="0.25">
      <c r="B7" s="23" t="s">
        <v>6</v>
      </c>
      <c r="C7" s="24">
        <v>41</v>
      </c>
      <c r="D7" s="24">
        <v>39</v>
      </c>
      <c r="E7" s="24">
        <v>57</v>
      </c>
      <c r="F7" s="24">
        <v>52</v>
      </c>
      <c r="G7" s="24">
        <v>74</v>
      </c>
      <c r="H7" s="24">
        <v>97</v>
      </c>
      <c r="I7" s="24">
        <v>83</v>
      </c>
      <c r="J7" s="24">
        <v>91</v>
      </c>
      <c r="K7" s="24">
        <v>105</v>
      </c>
      <c r="L7" s="24">
        <v>98</v>
      </c>
      <c r="M7" s="24">
        <v>85</v>
      </c>
      <c r="N7" s="24">
        <v>59</v>
      </c>
      <c r="O7" s="24">
        <v>56</v>
      </c>
      <c r="P7" s="24">
        <v>55</v>
      </c>
      <c r="Q7" s="24">
        <v>53</v>
      </c>
      <c r="R7" s="24">
        <v>68</v>
      </c>
      <c r="S7" s="24">
        <v>73</v>
      </c>
      <c r="T7" s="24">
        <v>52</v>
      </c>
      <c r="U7" s="24">
        <v>56</v>
      </c>
      <c r="V7" s="24">
        <v>47</v>
      </c>
      <c r="W7" s="24">
        <v>46</v>
      </c>
      <c r="X7" s="24">
        <v>4</v>
      </c>
      <c r="Y7" s="25">
        <f>SUM(Tabla9[[#This Row],[2002]:[2023]])</f>
        <v>1391</v>
      </c>
    </row>
    <row r="8" spans="2:25" x14ac:dyDescent="0.25">
      <c r="B8" s="23" t="s">
        <v>7</v>
      </c>
      <c r="C8" s="24">
        <v>29</v>
      </c>
      <c r="D8" s="24">
        <v>25</v>
      </c>
      <c r="E8" s="24">
        <v>46</v>
      </c>
      <c r="F8" s="24">
        <v>43</v>
      </c>
      <c r="G8" s="24">
        <v>49</v>
      </c>
      <c r="H8" s="24">
        <v>39</v>
      </c>
      <c r="I8" s="24">
        <v>38</v>
      </c>
      <c r="J8" s="24">
        <v>40</v>
      </c>
      <c r="K8" s="24">
        <v>42</v>
      </c>
      <c r="L8" s="24">
        <v>56</v>
      </c>
      <c r="M8" s="24">
        <v>46</v>
      </c>
      <c r="N8" s="24">
        <v>71</v>
      </c>
      <c r="O8" s="24">
        <v>67</v>
      </c>
      <c r="P8" s="24">
        <v>52</v>
      </c>
      <c r="Q8" s="24">
        <v>44</v>
      </c>
      <c r="R8" s="24">
        <v>50</v>
      </c>
      <c r="S8" s="24">
        <v>63</v>
      </c>
      <c r="T8" s="24">
        <v>53</v>
      </c>
      <c r="U8" s="24">
        <v>40</v>
      </c>
      <c r="V8" s="24">
        <v>30</v>
      </c>
      <c r="W8" s="24">
        <v>38</v>
      </c>
      <c r="X8" s="24">
        <v>6</v>
      </c>
      <c r="Y8" s="25">
        <f>SUM(Tabla9[[#This Row],[2002]:[2023]])</f>
        <v>967</v>
      </c>
    </row>
    <row r="9" spans="2:25" x14ac:dyDescent="0.25">
      <c r="B9" s="23" t="s">
        <v>8</v>
      </c>
      <c r="C9" s="24">
        <v>5</v>
      </c>
      <c r="D9" s="24">
        <v>5</v>
      </c>
      <c r="E9" s="24">
        <v>8</v>
      </c>
      <c r="F9" s="24">
        <v>7</v>
      </c>
      <c r="G9" s="24">
        <v>6</v>
      </c>
      <c r="H9" s="24">
        <v>10</v>
      </c>
      <c r="I9" s="24">
        <v>14</v>
      </c>
      <c r="J9" s="24">
        <v>14</v>
      </c>
      <c r="K9" s="24">
        <v>13</v>
      </c>
      <c r="L9" s="24">
        <v>11</v>
      </c>
      <c r="M9" s="24">
        <v>25</v>
      </c>
      <c r="N9" s="24">
        <v>27</v>
      </c>
      <c r="O9" s="24">
        <v>70</v>
      </c>
      <c r="P9" s="24">
        <v>58</v>
      </c>
      <c r="Q9" s="24">
        <v>52</v>
      </c>
      <c r="R9" s="24">
        <v>41</v>
      </c>
      <c r="S9" s="24">
        <v>41</v>
      </c>
      <c r="T9" s="24">
        <v>41</v>
      </c>
      <c r="U9" s="24">
        <v>75</v>
      </c>
      <c r="V9" s="24">
        <v>130</v>
      </c>
      <c r="W9" s="24">
        <v>131</v>
      </c>
      <c r="X9" s="24" t="s">
        <v>59</v>
      </c>
      <c r="Y9" s="25">
        <f>SUM(Tabla9[[#This Row],[2002]:[2023]])</f>
        <v>784</v>
      </c>
    </row>
    <row r="10" spans="2:25" x14ac:dyDescent="0.25">
      <c r="B10" s="23" t="s">
        <v>9</v>
      </c>
      <c r="C10" s="24">
        <v>12</v>
      </c>
      <c r="D10" s="24">
        <v>9</v>
      </c>
      <c r="E10" s="24">
        <v>19</v>
      </c>
      <c r="F10" s="24">
        <v>17</v>
      </c>
      <c r="G10" s="24">
        <v>20</v>
      </c>
      <c r="H10" s="24">
        <v>21</v>
      </c>
      <c r="I10" s="24">
        <v>28</v>
      </c>
      <c r="J10" s="24">
        <v>25</v>
      </c>
      <c r="K10" s="24">
        <v>29</v>
      </c>
      <c r="L10" s="24">
        <v>31</v>
      </c>
      <c r="M10" s="24">
        <v>31</v>
      </c>
      <c r="N10" s="24">
        <v>33</v>
      </c>
      <c r="O10" s="24">
        <v>40</v>
      </c>
      <c r="P10" s="24">
        <v>47</v>
      </c>
      <c r="Q10" s="24">
        <v>46</v>
      </c>
      <c r="R10" s="24">
        <v>42</v>
      </c>
      <c r="S10" s="24">
        <v>43</v>
      </c>
      <c r="T10" s="24">
        <v>25</v>
      </c>
      <c r="U10" s="24">
        <v>33</v>
      </c>
      <c r="V10" s="24">
        <v>24</v>
      </c>
      <c r="W10" s="24">
        <v>30</v>
      </c>
      <c r="X10" s="24">
        <v>6</v>
      </c>
      <c r="Y10" s="25">
        <f>SUM(Tabla9[[#This Row],[2002]:[2023]])</f>
        <v>611</v>
      </c>
    </row>
    <row r="11" spans="2:25" x14ac:dyDescent="0.25">
      <c r="B11" s="23" t="s">
        <v>10</v>
      </c>
      <c r="C11" s="24">
        <v>21</v>
      </c>
      <c r="D11" s="24">
        <v>18</v>
      </c>
      <c r="E11" s="24">
        <v>18</v>
      </c>
      <c r="F11" s="24">
        <v>22</v>
      </c>
      <c r="G11" s="24">
        <v>31</v>
      </c>
      <c r="H11" s="24">
        <v>27</v>
      </c>
      <c r="I11" s="24">
        <v>27</v>
      </c>
      <c r="J11" s="24">
        <v>34</v>
      </c>
      <c r="K11" s="24">
        <v>32</v>
      </c>
      <c r="L11" s="24">
        <v>27</v>
      </c>
      <c r="M11" s="24">
        <v>28</v>
      </c>
      <c r="N11" s="24">
        <v>21</v>
      </c>
      <c r="O11" s="24">
        <v>26</v>
      </c>
      <c r="P11" s="24">
        <v>32</v>
      </c>
      <c r="Q11" s="24">
        <v>28</v>
      </c>
      <c r="R11" s="24">
        <v>27</v>
      </c>
      <c r="S11" s="24">
        <v>47</v>
      </c>
      <c r="T11" s="24">
        <v>34</v>
      </c>
      <c r="U11" s="24">
        <v>36</v>
      </c>
      <c r="V11" s="24">
        <v>28</v>
      </c>
      <c r="W11" s="24">
        <v>29</v>
      </c>
      <c r="X11" s="24">
        <v>3</v>
      </c>
      <c r="Y11" s="25">
        <f>SUM(Tabla9[[#This Row],[2002]:[2023]])</f>
        <v>596</v>
      </c>
    </row>
    <row r="12" spans="2:25" x14ac:dyDescent="0.25">
      <c r="B12" s="23" t="s">
        <v>11</v>
      </c>
      <c r="C12" s="24">
        <v>9</v>
      </c>
      <c r="D12" s="24">
        <v>8</v>
      </c>
      <c r="E12" s="24">
        <v>10</v>
      </c>
      <c r="F12" s="24">
        <v>7</v>
      </c>
      <c r="G12" s="24">
        <v>11</v>
      </c>
      <c r="H12" s="24">
        <v>8</v>
      </c>
      <c r="I12" s="24">
        <v>19</v>
      </c>
      <c r="J12" s="24">
        <v>19</v>
      </c>
      <c r="K12" s="24">
        <v>20</v>
      </c>
      <c r="L12" s="24">
        <v>21</v>
      </c>
      <c r="M12" s="24">
        <v>40</v>
      </c>
      <c r="N12" s="24">
        <v>32</v>
      </c>
      <c r="O12" s="24">
        <v>25</v>
      </c>
      <c r="P12" s="24">
        <v>35</v>
      </c>
      <c r="Q12" s="24">
        <v>37</v>
      </c>
      <c r="R12" s="24">
        <v>30</v>
      </c>
      <c r="S12" s="24">
        <v>34</v>
      </c>
      <c r="T12" s="24">
        <v>17</v>
      </c>
      <c r="U12" s="24">
        <v>49</v>
      </c>
      <c r="V12" s="24">
        <v>41</v>
      </c>
      <c r="W12" s="24">
        <v>37</v>
      </c>
      <c r="X12" s="24">
        <v>1</v>
      </c>
      <c r="Y12" s="25">
        <f>SUM(Tabla9[[#This Row],[2002]:[2023]])</f>
        <v>510</v>
      </c>
    </row>
    <row r="13" spans="2:25" x14ac:dyDescent="0.25">
      <c r="B13" s="23" t="s">
        <v>12</v>
      </c>
      <c r="C13" s="24">
        <v>13</v>
      </c>
      <c r="D13" s="24">
        <v>9</v>
      </c>
      <c r="E13" s="24">
        <v>13</v>
      </c>
      <c r="F13" s="24">
        <v>11</v>
      </c>
      <c r="G13" s="24">
        <v>12</v>
      </c>
      <c r="H13" s="24">
        <v>16</v>
      </c>
      <c r="I13" s="24">
        <v>19</v>
      </c>
      <c r="J13" s="24">
        <v>20</v>
      </c>
      <c r="K13" s="24">
        <v>17</v>
      </c>
      <c r="L13" s="24">
        <v>27</v>
      </c>
      <c r="M13" s="24">
        <v>19</v>
      </c>
      <c r="N13" s="24">
        <v>40</v>
      </c>
      <c r="O13" s="24">
        <v>30</v>
      </c>
      <c r="P13" s="24">
        <v>35</v>
      </c>
      <c r="Q13" s="24">
        <v>37</v>
      </c>
      <c r="R13" s="24">
        <v>27</v>
      </c>
      <c r="S13" s="24">
        <v>32</v>
      </c>
      <c r="T13" s="24">
        <v>22</v>
      </c>
      <c r="U13" s="24">
        <v>14</v>
      </c>
      <c r="V13" s="24">
        <v>16</v>
      </c>
      <c r="W13" s="24">
        <v>16</v>
      </c>
      <c r="X13" s="24">
        <v>1</v>
      </c>
      <c r="Y13" s="25">
        <f>SUM(Tabla9[[#This Row],[2002]:[2023]])</f>
        <v>446</v>
      </c>
    </row>
    <row r="14" spans="2:25" x14ac:dyDescent="0.25">
      <c r="B14" s="23" t="s">
        <v>13</v>
      </c>
      <c r="C14" s="24">
        <v>8</v>
      </c>
      <c r="D14" s="24">
        <v>11</v>
      </c>
      <c r="E14" s="24">
        <v>14</v>
      </c>
      <c r="F14" s="24">
        <v>22</v>
      </c>
      <c r="G14" s="24">
        <v>20</v>
      </c>
      <c r="H14" s="24">
        <v>14</v>
      </c>
      <c r="I14" s="24">
        <v>23</v>
      </c>
      <c r="J14" s="24">
        <v>18</v>
      </c>
      <c r="K14" s="24">
        <v>24</v>
      </c>
      <c r="L14" s="24">
        <v>21</v>
      </c>
      <c r="M14" s="24">
        <v>24</v>
      </c>
      <c r="N14" s="24">
        <v>29</v>
      </c>
      <c r="O14" s="24">
        <v>32</v>
      </c>
      <c r="P14" s="24">
        <v>26</v>
      </c>
      <c r="Q14" s="24">
        <v>28</v>
      </c>
      <c r="R14" s="24">
        <v>29</v>
      </c>
      <c r="S14" s="24">
        <v>31</v>
      </c>
      <c r="T14" s="24">
        <v>15</v>
      </c>
      <c r="U14" s="24">
        <v>11</v>
      </c>
      <c r="V14" s="24">
        <v>15</v>
      </c>
      <c r="W14" s="24">
        <v>19</v>
      </c>
      <c r="X14" s="24" t="s">
        <v>59</v>
      </c>
      <c r="Y14" s="25">
        <f>SUM(Tabla9[[#This Row],[2002]:[2023]])</f>
        <v>434</v>
      </c>
    </row>
    <row r="15" spans="2:25" x14ac:dyDescent="0.25">
      <c r="B15" s="23" t="s">
        <v>14</v>
      </c>
      <c r="C15" s="24">
        <v>8</v>
      </c>
      <c r="D15" s="24">
        <v>6</v>
      </c>
      <c r="E15" s="24">
        <v>7</v>
      </c>
      <c r="F15" s="24">
        <v>13</v>
      </c>
      <c r="G15" s="24">
        <v>9</v>
      </c>
      <c r="H15" s="24">
        <v>16</v>
      </c>
      <c r="I15" s="24">
        <v>14</v>
      </c>
      <c r="J15" s="24">
        <v>17</v>
      </c>
      <c r="K15" s="24">
        <v>11</v>
      </c>
      <c r="L15" s="24">
        <v>8</v>
      </c>
      <c r="M15" s="24">
        <v>9</v>
      </c>
      <c r="N15" s="24">
        <v>9</v>
      </c>
      <c r="O15" s="24">
        <v>10</v>
      </c>
      <c r="P15" s="24">
        <v>12</v>
      </c>
      <c r="Q15" s="24">
        <v>24</v>
      </c>
      <c r="R15" s="24">
        <v>33</v>
      </c>
      <c r="S15" s="24">
        <v>29</v>
      </c>
      <c r="T15" s="24">
        <v>27</v>
      </c>
      <c r="U15" s="24">
        <v>17</v>
      </c>
      <c r="V15" s="24">
        <v>26</v>
      </c>
      <c r="W15" s="24">
        <v>14</v>
      </c>
      <c r="X15" s="24">
        <v>5</v>
      </c>
      <c r="Y15" s="25">
        <f>SUM(Tabla9[[#This Row],[2002]:[2023]])</f>
        <v>324</v>
      </c>
    </row>
    <row r="16" spans="2:25" x14ac:dyDescent="0.25">
      <c r="B16" s="23" t="s">
        <v>15</v>
      </c>
      <c r="C16" s="24">
        <v>5</v>
      </c>
      <c r="D16" s="24">
        <v>5</v>
      </c>
      <c r="E16" s="24">
        <v>3</v>
      </c>
      <c r="F16" s="24">
        <v>6</v>
      </c>
      <c r="G16" s="24">
        <v>3</v>
      </c>
      <c r="H16" s="24">
        <v>6</v>
      </c>
      <c r="I16" s="24">
        <v>36</v>
      </c>
      <c r="J16" s="24">
        <v>7</v>
      </c>
      <c r="K16" s="24">
        <v>4</v>
      </c>
      <c r="L16" s="24">
        <v>4</v>
      </c>
      <c r="M16" s="24">
        <v>7</v>
      </c>
      <c r="N16" s="24">
        <v>17</v>
      </c>
      <c r="O16" s="24">
        <v>16</v>
      </c>
      <c r="P16" s="24">
        <v>22</v>
      </c>
      <c r="Q16" s="24">
        <v>20</v>
      </c>
      <c r="R16" s="24">
        <v>11</v>
      </c>
      <c r="S16" s="24">
        <v>9</v>
      </c>
      <c r="T16" s="24">
        <v>15</v>
      </c>
      <c r="U16" s="24">
        <v>15</v>
      </c>
      <c r="V16" s="24">
        <v>19</v>
      </c>
      <c r="W16" s="24">
        <v>14</v>
      </c>
      <c r="X16" s="24" t="s">
        <v>59</v>
      </c>
      <c r="Y16" s="25">
        <f>SUM(Tabla9[[#This Row],[2002]:[2023]])</f>
        <v>244</v>
      </c>
    </row>
    <row r="17" spans="2:25" x14ac:dyDescent="0.25">
      <c r="B17" s="23" t="s">
        <v>16</v>
      </c>
      <c r="C17" s="24">
        <v>24</v>
      </c>
      <c r="D17" s="24">
        <v>20</v>
      </c>
      <c r="E17" s="24">
        <v>21</v>
      </c>
      <c r="F17" s="24">
        <v>18</v>
      </c>
      <c r="G17" s="24">
        <v>14</v>
      </c>
      <c r="H17" s="24">
        <v>14</v>
      </c>
      <c r="I17" s="24">
        <v>14</v>
      </c>
      <c r="J17" s="24">
        <v>6</v>
      </c>
      <c r="K17" s="24">
        <v>8</v>
      </c>
      <c r="L17" s="24">
        <v>8</v>
      </c>
      <c r="M17" s="24">
        <v>4</v>
      </c>
      <c r="N17" s="24">
        <v>5</v>
      </c>
      <c r="O17" s="24">
        <v>8</v>
      </c>
      <c r="P17" s="24">
        <v>10</v>
      </c>
      <c r="Q17" s="24">
        <v>14</v>
      </c>
      <c r="R17" s="24">
        <v>15</v>
      </c>
      <c r="S17" s="24">
        <v>9</v>
      </c>
      <c r="T17" s="24">
        <v>2</v>
      </c>
      <c r="U17" s="24">
        <v>7</v>
      </c>
      <c r="V17" s="24">
        <v>2</v>
      </c>
      <c r="W17" s="24">
        <v>7</v>
      </c>
      <c r="X17" s="24">
        <v>3</v>
      </c>
      <c r="Y17" s="25">
        <f>SUM(Tabla9[[#This Row],[2002]:[2023]])</f>
        <v>233</v>
      </c>
    </row>
    <row r="18" spans="2:25" x14ac:dyDescent="0.25">
      <c r="B18" s="23" t="s">
        <v>17</v>
      </c>
      <c r="C18" s="24">
        <v>6</v>
      </c>
      <c r="D18" s="24">
        <v>5</v>
      </c>
      <c r="E18" s="24">
        <v>4</v>
      </c>
      <c r="F18" s="24">
        <v>6</v>
      </c>
      <c r="G18" s="24">
        <v>12</v>
      </c>
      <c r="H18" s="24">
        <v>7</v>
      </c>
      <c r="I18" s="24">
        <v>5</v>
      </c>
      <c r="J18" s="24">
        <v>10</v>
      </c>
      <c r="K18" s="24">
        <v>20</v>
      </c>
      <c r="L18" s="24">
        <v>12</v>
      </c>
      <c r="M18" s="24">
        <v>13</v>
      </c>
      <c r="N18" s="24">
        <v>10</v>
      </c>
      <c r="O18" s="24">
        <v>9</v>
      </c>
      <c r="P18" s="24">
        <v>12</v>
      </c>
      <c r="Q18" s="24">
        <v>16</v>
      </c>
      <c r="R18" s="24">
        <v>12</v>
      </c>
      <c r="S18" s="24">
        <v>4</v>
      </c>
      <c r="T18" s="24">
        <v>7</v>
      </c>
      <c r="U18" s="24">
        <v>6</v>
      </c>
      <c r="V18" s="24">
        <v>9</v>
      </c>
      <c r="W18" s="24">
        <v>14</v>
      </c>
      <c r="X18" s="24" t="s">
        <v>59</v>
      </c>
      <c r="Y18" s="25">
        <f>SUM(Tabla9[[#This Row],[2002]:[2023]])</f>
        <v>199</v>
      </c>
    </row>
    <row r="19" spans="2:25" x14ac:dyDescent="0.25">
      <c r="B19" s="23" t="s">
        <v>18</v>
      </c>
      <c r="C19" s="24">
        <v>5</v>
      </c>
      <c r="D19" s="24">
        <v>1</v>
      </c>
      <c r="E19" s="24">
        <v>7</v>
      </c>
      <c r="F19" s="24">
        <v>5</v>
      </c>
      <c r="G19" s="24">
        <v>8</v>
      </c>
      <c r="H19" s="24">
        <v>9</v>
      </c>
      <c r="I19" s="24">
        <v>11</v>
      </c>
      <c r="J19" s="24">
        <v>7</v>
      </c>
      <c r="K19" s="24">
        <v>6</v>
      </c>
      <c r="L19" s="24">
        <v>8</v>
      </c>
      <c r="M19" s="24">
        <v>17</v>
      </c>
      <c r="N19" s="24">
        <v>16</v>
      </c>
      <c r="O19" s="24">
        <v>12</v>
      </c>
      <c r="P19" s="24">
        <v>14</v>
      </c>
      <c r="Q19" s="24">
        <v>11</v>
      </c>
      <c r="R19" s="24">
        <v>7</v>
      </c>
      <c r="S19" s="24">
        <v>9</v>
      </c>
      <c r="T19" s="24">
        <v>11</v>
      </c>
      <c r="U19" s="24">
        <v>15</v>
      </c>
      <c r="V19" s="24">
        <v>8</v>
      </c>
      <c r="W19" s="24">
        <v>6</v>
      </c>
      <c r="X19" s="24" t="s">
        <v>59</v>
      </c>
      <c r="Y19" s="25">
        <f>SUM(Tabla9[[#This Row],[2002]:[2023]])</f>
        <v>193</v>
      </c>
    </row>
    <row r="20" spans="2:25" x14ac:dyDescent="0.25">
      <c r="B20" s="23" t="s">
        <v>19</v>
      </c>
      <c r="C20" s="24">
        <v>1</v>
      </c>
      <c r="D20" s="24">
        <v>2</v>
      </c>
      <c r="E20" s="24">
        <v>6</v>
      </c>
      <c r="F20" s="24">
        <v>2</v>
      </c>
      <c r="G20" s="24">
        <v>6</v>
      </c>
      <c r="H20" s="24">
        <v>8</v>
      </c>
      <c r="I20" s="24">
        <v>7</v>
      </c>
      <c r="J20" s="24">
        <v>12</v>
      </c>
      <c r="K20" s="24">
        <v>7</v>
      </c>
      <c r="L20" s="24">
        <v>22</v>
      </c>
      <c r="M20" s="24">
        <v>14</v>
      </c>
      <c r="N20" s="24">
        <v>10</v>
      </c>
      <c r="O20" s="24">
        <v>8</v>
      </c>
      <c r="P20" s="24">
        <v>12</v>
      </c>
      <c r="Q20" s="24">
        <v>10</v>
      </c>
      <c r="R20" s="24">
        <v>11</v>
      </c>
      <c r="S20" s="24">
        <v>8</v>
      </c>
      <c r="T20" s="24">
        <v>12</v>
      </c>
      <c r="U20" s="24">
        <v>17</v>
      </c>
      <c r="V20" s="24">
        <v>4</v>
      </c>
      <c r="W20" s="24">
        <v>7</v>
      </c>
      <c r="X20" s="24" t="s">
        <v>59</v>
      </c>
      <c r="Y20" s="25">
        <f>SUM(Tabla9[[#This Row],[2002]:[2023]])</f>
        <v>186</v>
      </c>
    </row>
    <row r="21" spans="2:25" x14ac:dyDescent="0.25">
      <c r="B21" s="23" t="s">
        <v>20</v>
      </c>
      <c r="C21" s="24">
        <v>2</v>
      </c>
      <c r="D21" s="24">
        <v>4</v>
      </c>
      <c r="E21" s="24">
        <v>6</v>
      </c>
      <c r="F21" s="24">
        <v>6</v>
      </c>
      <c r="G21" s="24">
        <v>5</v>
      </c>
      <c r="H21" s="24">
        <v>6</v>
      </c>
      <c r="I21" s="24">
        <v>4</v>
      </c>
      <c r="J21" s="24">
        <v>9</v>
      </c>
      <c r="K21" s="24">
        <v>5</v>
      </c>
      <c r="L21" s="24">
        <v>7</v>
      </c>
      <c r="M21" s="24">
        <v>8</v>
      </c>
      <c r="N21" s="24">
        <v>13</v>
      </c>
      <c r="O21" s="24">
        <v>15</v>
      </c>
      <c r="P21" s="24">
        <v>12</v>
      </c>
      <c r="Q21" s="24">
        <v>11</v>
      </c>
      <c r="R21" s="24">
        <v>12</v>
      </c>
      <c r="S21" s="24">
        <v>9</v>
      </c>
      <c r="T21" s="24">
        <v>10</v>
      </c>
      <c r="U21" s="24">
        <v>5</v>
      </c>
      <c r="V21" s="24">
        <v>5</v>
      </c>
      <c r="W21" s="24">
        <v>6</v>
      </c>
      <c r="X21" s="24" t="s">
        <v>59</v>
      </c>
      <c r="Y21" s="25">
        <f>SUM(Tabla9[[#This Row],[2002]:[2023]])</f>
        <v>160</v>
      </c>
    </row>
    <row r="22" spans="2:25" x14ac:dyDescent="0.25">
      <c r="B22" s="23" t="s">
        <v>21</v>
      </c>
      <c r="C22" s="24">
        <v>2</v>
      </c>
      <c r="D22" s="24">
        <v>2</v>
      </c>
      <c r="E22" s="24">
        <v>1</v>
      </c>
      <c r="F22" s="24">
        <v>3</v>
      </c>
      <c r="G22" s="24">
        <v>4</v>
      </c>
      <c r="H22" s="24">
        <v>2</v>
      </c>
      <c r="I22" s="24">
        <v>5</v>
      </c>
      <c r="J22" s="24">
        <v>6</v>
      </c>
      <c r="K22" s="24">
        <v>7</v>
      </c>
      <c r="L22" s="24">
        <v>6</v>
      </c>
      <c r="M22" s="24">
        <v>8</v>
      </c>
      <c r="N22" s="24">
        <v>9</v>
      </c>
      <c r="O22" s="24">
        <v>11</v>
      </c>
      <c r="P22" s="24">
        <v>12</v>
      </c>
      <c r="Q22" s="24">
        <v>11</v>
      </c>
      <c r="R22" s="24">
        <v>13</v>
      </c>
      <c r="S22" s="24">
        <v>14</v>
      </c>
      <c r="T22" s="24">
        <v>6</v>
      </c>
      <c r="U22" s="24">
        <v>7</v>
      </c>
      <c r="V22" s="24">
        <v>12</v>
      </c>
      <c r="W22" s="24">
        <v>12</v>
      </c>
      <c r="X22" s="24">
        <v>1</v>
      </c>
      <c r="Y22" s="25">
        <f>SUM(Tabla9[[#This Row],[2002]:[2023]])</f>
        <v>154</v>
      </c>
    </row>
    <row r="23" spans="2:25" x14ac:dyDescent="0.25">
      <c r="B23" s="23" t="s">
        <v>22</v>
      </c>
      <c r="C23" s="24">
        <v>6</v>
      </c>
      <c r="D23" s="24">
        <v>4</v>
      </c>
      <c r="E23" s="24">
        <v>6</v>
      </c>
      <c r="F23" s="24">
        <v>4</v>
      </c>
      <c r="G23" s="24">
        <v>5</v>
      </c>
      <c r="H23" s="24">
        <v>5</v>
      </c>
      <c r="I23" s="24">
        <v>4</v>
      </c>
      <c r="J23" s="24">
        <v>3</v>
      </c>
      <c r="K23" s="24">
        <v>6</v>
      </c>
      <c r="L23" s="24">
        <v>11</v>
      </c>
      <c r="M23" s="24">
        <v>11</v>
      </c>
      <c r="N23" s="24">
        <v>10</v>
      </c>
      <c r="O23" s="24">
        <v>8</v>
      </c>
      <c r="P23" s="24">
        <v>7</v>
      </c>
      <c r="Q23" s="24">
        <v>3</v>
      </c>
      <c r="R23" s="24">
        <v>4</v>
      </c>
      <c r="S23" s="24">
        <v>3</v>
      </c>
      <c r="T23" s="24">
        <v>10</v>
      </c>
      <c r="U23" s="24">
        <v>8</v>
      </c>
      <c r="V23" s="24">
        <v>20</v>
      </c>
      <c r="W23" s="24">
        <v>12</v>
      </c>
      <c r="X23" s="24" t="s">
        <v>59</v>
      </c>
      <c r="Y23" s="25">
        <f>SUM(Tabla9[[#This Row],[2002]:[2023]])</f>
        <v>150</v>
      </c>
    </row>
    <row r="24" spans="2:25" x14ac:dyDescent="0.25">
      <c r="B24" s="23" t="s">
        <v>23</v>
      </c>
      <c r="C24" s="24">
        <v>1</v>
      </c>
      <c r="D24" s="24">
        <v>4</v>
      </c>
      <c r="E24" s="24">
        <v>8</v>
      </c>
      <c r="F24" s="24">
        <v>3</v>
      </c>
      <c r="G24" s="24">
        <v>2</v>
      </c>
      <c r="H24" s="24">
        <v>4</v>
      </c>
      <c r="I24" s="24">
        <v>10</v>
      </c>
      <c r="J24" s="24">
        <v>5</v>
      </c>
      <c r="K24" s="24">
        <v>2</v>
      </c>
      <c r="L24" s="24">
        <v>7</v>
      </c>
      <c r="M24" s="24">
        <v>5</v>
      </c>
      <c r="N24" s="24">
        <v>4</v>
      </c>
      <c r="O24" s="24">
        <v>6</v>
      </c>
      <c r="P24" s="24">
        <v>4</v>
      </c>
      <c r="Q24" s="24">
        <v>2</v>
      </c>
      <c r="R24" s="24">
        <v>5</v>
      </c>
      <c r="S24" s="24">
        <v>6</v>
      </c>
      <c r="T24" s="24">
        <v>9</v>
      </c>
      <c r="U24" s="24">
        <v>20</v>
      </c>
      <c r="V24" s="24">
        <v>19</v>
      </c>
      <c r="W24" s="24">
        <v>18</v>
      </c>
      <c r="X24" s="24">
        <v>1</v>
      </c>
      <c r="Y24" s="25">
        <f>SUM(Tabla9[[#This Row],[2002]:[2023]])</f>
        <v>145</v>
      </c>
    </row>
    <row r="25" spans="2:25" x14ac:dyDescent="0.25">
      <c r="B25" s="23" t="s">
        <v>24</v>
      </c>
      <c r="C25" s="24">
        <v>1</v>
      </c>
      <c r="D25" s="24">
        <v>3</v>
      </c>
      <c r="E25" s="24">
        <v>4</v>
      </c>
      <c r="F25" s="24">
        <v>3</v>
      </c>
      <c r="G25" s="24">
        <v>3</v>
      </c>
      <c r="H25" s="24">
        <v>5</v>
      </c>
      <c r="I25" s="24">
        <v>3</v>
      </c>
      <c r="J25" s="24">
        <v>4</v>
      </c>
      <c r="K25" s="24">
        <v>7</v>
      </c>
      <c r="L25" s="24">
        <v>7</v>
      </c>
      <c r="M25" s="24">
        <v>7</v>
      </c>
      <c r="N25" s="24">
        <v>4</v>
      </c>
      <c r="O25" s="24">
        <v>2</v>
      </c>
      <c r="P25" s="24">
        <v>8</v>
      </c>
      <c r="Q25" s="24">
        <v>9</v>
      </c>
      <c r="R25" s="24">
        <v>15</v>
      </c>
      <c r="S25" s="24">
        <v>4</v>
      </c>
      <c r="T25" s="24">
        <v>5</v>
      </c>
      <c r="U25" s="24">
        <v>2</v>
      </c>
      <c r="V25" s="24">
        <v>6</v>
      </c>
      <c r="W25" s="24">
        <v>9</v>
      </c>
      <c r="X25" s="24" t="s">
        <v>59</v>
      </c>
      <c r="Y25" s="25">
        <f>SUM(Tabla9[[#This Row],[2002]:[2023]])</f>
        <v>111</v>
      </c>
    </row>
    <row r="26" spans="2:25" x14ac:dyDescent="0.25">
      <c r="B26" s="23" t="s">
        <v>25</v>
      </c>
      <c r="C26" s="24">
        <v>1</v>
      </c>
      <c r="D26" s="24">
        <v>1</v>
      </c>
      <c r="E26" s="24">
        <v>1</v>
      </c>
      <c r="F26" s="24">
        <v>3</v>
      </c>
      <c r="G26" s="24">
        <v>2</v>
      </c>
      <c r="H26" s="24">
        <v>5</v>
      </c>
      <c r="I26" s="24">
        <v>11</v>
      </c>
      <c r="J26" s="24">
        <v>5</v>
      </c>
      <c r="K26" s="24">
        <v>6</v>
      </c>
      <c r="L26" s="24">
        <v>5</v>
      </c>
      <c r="M26" s="24">
        <v>4</v>
      </c>
      <c r="N26" s="24">
        <v>8</v>
      </c>
      <c r="O26" s="24">
        <v>3</v>
      </c>
      <c r="P26" s="24">
        <v>5</v>
      </c>
      <c r="Q26" s="24">
        <v>2</v>
      </c>
      <c r="R26" s="24">
        <v>3</v>
      </c>
      <c r="S26" s="24">
        <v>5</v>
      </c>
      <c r="T26" s="24">
        <v>7</v>
      </c>
      <c r="U26" s="24">
        <v>3</v>
      </c>
      <c r="V26" s="24">
        <v>8</v>
      </c>
      <c r="W26" s="24">
        <v>11</v>
      </c>
      <c r="X26" s="24">
        <v>1</v>
      </c>
      <c r="Y26" s="25">
        <f>SUM(Tabla9[[#This Row],[2002]:[2023]])</f>
        <v>100</v>
      </c>
    </row>
    <row r="27" spans="2:25" x14ac:dyDescent="0.25">
      <c r="B27" s="23" t="s">
        <v>26</v>
      </c>
      <c r="C27" s="24">
        <v>1</v>
      </c>
      <c r="D27" s="24">
        <v>5</v>
      </c>
      <c r="E27" s="24">
        <v>5</v>
      </c>
      <c r="F27" s="24">
        <v>1</v>
      </c>
      <c r="G27" s="24">
        <v>3</v>
      </c>
      <c r="H27" s="24">
        <v>4</v>
      </c>
      <c r="I27" s="24">
        <v>2</v>
      </c>
      <c r="J27" s="24">
        <v>4</v>
      </c>
      <c r="K27" s="24">
        <v>6</v>
      </c>
      <c r="L27" s="24">
        <v>3</v>
      </c>
      <c r="M27" s="24">
        <v>3</v>
      </c>
      <c r="N27" s="24">
        <v>10</v>
      </c>
      <c r="O27" s="24">
        <v>5</v>
      </c>
      <c r="P27" s="24">
        <v>4</v>
      </c>
      <c r="Q27" s="24">
        <v>10</v>
      </c>
      <c r="R27" s="24">
        <v>6</v>
      </c>
      <c r="S27" s="24">
        <v>12</v>
      </c>
      <c r="T27" s="24">
        <v>1</v>
      </c>
      <c r="U27" s="26">
        <v>3</v>
      </c>
      <c r="V27" s="24">
        <v>1</v>
      </c>
      <c r="W27" s="24">
        <v>4</v>
      </c>
      <c r="X27" s="24" t="s">
        <v>59</v>
      </c>
      <c r="Y27" s="25">
        <f>SUM(Tabla9[[#This Row],[2002]:[2023]])</f>
        <v>93</v>
      </c>
    </row>
    <row r="28" spans="2:25" x14ac:dyDescent="0.25">
      <c r="B28" s="23" t="s">
        <v>27</v>
      </c>
      <c r="C28" s="24">
        <v>2</v>
      </c>
      <c r="D28" s="24">
        <v>14</v>
      </c>
      <c r="E28" s="24">
        <v>2</v>
      </c>
      <c r="F28" s="24">
        <v>1</v>
      </c>
      <c r="G28" s="24">
        <v>2</v>
      </c>
      <c r="H28" s="24">
        <v>5</v>
      </c>
      <c r="I28" s="24">
        <v>2</v>
      </c>
      <c r="J28" s="24">
        <v>3</v>
      </c>
      <c r="K28" s="24">
        <v>7</v>
      </c>
      <c r="L28" s="24">
        <v>4</v>
      </c>
      <c r="M28" s="24">
        <v>5</v>
      </c>
      <c r="N28" s="24">
        <v>2</v>
      </c>
      <c r="O28" s="24">
        <v>4</v>
      </c>
      <c r="P28" s="24">
        <v>17</v>
      </c>
      <c r="Q28" s="24">
        <v>2</v>
      </c>
      <c r="R28" s="24">
        <v>2</v>
      </c>
      <c r="S28" s="24">
        <v>5</v>
      </c>
      <c r="T28" s="24">
        <v>3</v>
      </c>
      <c r="U28" s="24" t="s">
        <v>59</v>
      </c>
      <c r="V28" s="24">
        <v>1</v>
      </c>
      <c r="W28" s="24" t="s">
        <v>59</v>
      </c>
      <c r="X28" s="24" t="s">
        <v>59</v>
      </c>
      <c r="Y28" s="25">
        <f>SUM(Tabla9[[#This Row],[2002]:[2023]])</f>
        <v>83</v>
      </c>
    </row>
    <row r="29" spans="2:25" x14ac:dyDescent="0.25">
      <c r="B29" s="23" t="s">
        <v>29</v>
      </c>
      <c r="C29" s="24">
        <v>1</v>
      </c>
      <c r="D29" s="24">
        <v>2</v>
      </c>
      <c r="E29" s="24">
        <v>2</v>
      </c>
      <c r="F29" s="24">
        <v>1</v>
      </c>
      <c r="G29" s="24">
        <v>3</v>
      </c>
      <c r="H29" s="24">
        <v>6</v>
      </c>
      <c r="I29" s="24">
        <v>4</v>
      </c>
      <c r="J29" s="24">
        <v>6</v>
      </c>
      <c r="K29" s="24">
        <v>3</v>
      </c>
      <c r="L29" s="24">
        <v>4</v>
      </c>
      <c r="M29" s="24">
        <v>5</v>
      </c>
      <c r="N29" s="24">
        <v>5</v>
      </c>
      <c r="O29" s="24">
        <v>4</v>
      </c>
      <c r="P29" s="24">
        <v>6</v>
      </c>
      <c r="Q29" s="24">
        <v>2</v>
      </c>
      <c r="R29" s="24">
        <v>3</v>
      </c>
      <c r="S29" s="24">
        <v>2</v>
      </c>
      <c r="T29" s="24">
        <v>2</v>
      </c>
      <c r="U29" s="24">
        <v>9</v>
      </c>
      <c r="V29" s="24">
        <v>1</v>
      </c>
      <c r="W29" s="24">
        <v>4</v>
      </c>
      <c r="X29" s="24" t="s">
        <v>59</v>
      </c>
      <c r="Y29" s="25">
        <f>SUM(Tabla9[[#This Row],[2002]:[2023]])</f>
        <v>75</v>
      </c>
    </row>
    <row r="30" spans="2:25" x14ac:dyDescent="0.25">
      <c r="B30" s="23" t="s">
        <v>28</v>
      </c>
      <c r="C30" s="24">
        <v>2</v>
      </c>
      <c r="D30" s="27" t="s">
        <v>59</v>
      </c>
      <c r="E30" s="24">
        <v>2</v>
      </c>
      <c r="F30" s="24">
        <v>2</v>
      </c>
      <c r="G30" s="24">
        <v>4</v>
      </c>
      <c r="H30" s="24">
        <v>5</v>
      </c>
      <c r="I30" s="24">
        <v>3</v>
      </c>
      <c r="J30" s="24">
        <v>4</v>
      </c>
      <c r="K30" s="24">
        <v>4</v>
      </c>
      <c r="L30" s="24">
        <v>4</v>
      </c>
      <c r="M30" s="24">
        <v>2</v>
      </c>
      <c r="N30" s="24">
        <v>3</v>
      </c>
      <c r="O30" s="24">
        <v>6</v>
      </c>
      <c r="P30" s="24">
        <v>7</v>
      </c>
      <c r="Q30" s="24">
        <v>3</v>
      </c>
      <c r="R30" s="24">
        <v>5</v>
      </c>
      <c r="S30" s="26" t="s">
        <v>59</v>
      </c>
      <c r="T30" s="24">
        <v>5</v>
      </c>
      <c r="U30" s="24">
        <v>2</v>
      </c>
      <c r="V30" s="24">
        <v>6</v>
      </c>
      <c r="W30" s="24">
        <v>6</v>
      </c>
      <c r="X30" s="24" t="s">
        <v>59</v>
      </c>
      <c r="Y30" s="25">
        <f>SUM(Tabla9[[#This Row],[2002]:[2023]])</f>
        <v>75</v>
      </c>
    </row>
    <row r="31" spans="2:25" x14ac:dyDescent="0.25">
      <c r="B31" s="23" t="s">
        <v>30</v>
      </c>
      <c r="C31" s="24">
        <v>3</v>
      </c>
      <c r="D31" s="24">
        <v>2</v>
      </c>
      <c r="E31" s="24">
        <v>1</v>
      </c>
      <c r="F31" s="24">
        <v>2</v>
      </c>
      <c r="G31" s="24">
        <v>3</v>
      </c>
      <c r="H31" s="24">
        <v>2</v>
      </c>
      <c r="I31" s="24">
        <v>4</v>
      </c>
      <c r="J31" s="24">
        <v>3</v>
      </c>
      <c r="K31" s="24">
        <v>2</v>
      </c>
      <c r="L31" s="24">
        <v>4</v>
      </c>
      <c r="M31" s="24">
        <v>3</v>
      </c>
      <c r="N31" s="24">
        <v>9</v>
      </c>
      <c r="O31" s="24">
        <v>4</v>
      </c>
      <c r="P31" s="24">
        <v>6</v>
      </c>
      <c r="Q31" s="24">
        <v>5</v>
      </c>
      <c r="R31" s="24">
        <v>5</v>
      </c>
      <c r="S31" s="24">
        <v>2</v>
      </c>
      <c r="T31" s="24">
        <v>2</v>
      </c>
      <c r="U31" s="24">
        <v>1</v>
      </c>
      <c r="V31" s="26" t="s">
        <v>59</v>
      </c>
      <c r="W31" s="24">
        <v>2</v>
      </c>
      <c r="X31" s="24" t="s">
        <v>59</v>
      </c>
      <c r="Y31" s="25">
        <f>SUM(Tabla9[[#This Row],[2002]:[2023]])</f>
        <v>65</v>
      </c>
    </row>
    <row r="32" spans="2:25" x14ac:dyDescent="0.25">
      <c r="B32" s="23" t="s">
        <v>31</v>
      </c>
      <c r="C32" s="24">
        <v>2</v>
      </c>
      <c r="D32" s="24">
        <v>2</v>
      </c>
      <c r="E32" s="24">
        <v>1</v>
      </c>
      <c r="F32" s="24">
        <v>2</v>
      </c>
      <c r="G32" s="24">
        <v>2</v>
      </c>
      <c r="H32" s="24">
        <v>2</v>
      </c>
      <c r="I32" s="24">
        <v>2</v>
      </c>
      <c r="J32" s="24">
        <v>4</v>
      </c>
      <c r="K32" s="24">
        <v>3</v>
      </c>
      <c r="L32" s="24">
        <v>2</v>
      </c>
      <c r="M32" s="24">
        <v>6</v>
      </c>
      <c r="N32" s="24">
        <v>6</v>
      </c>
      <c r="O32" s="24">
        <v>2</v>
      </c>
      <c r="P32" s="24">
        <v>3</v>
      </c>
      <c r="Q32" s="24">
        <v>3</v>
      </c>
      <c r="R32" s="24">
        <v>2</v>
      </c>
      <c r="S32" s="24">
        <v>6</v>
      </c>
      <c r="T32" s="24">
        <v>4</v>
      </c>
      <c r="U32" s="24">
        <v>1</v>
      </c>
      <c r="V32" s="24">
        <v>2</v>
      </c>
      <c r="W32" s="24">
        <v>3</v>
      </c>
      <c r="X32" s="24" t="s">
        <v>59</v>
      </c>
      <c r="Y32" s="25">
        <f>SUM(Tabla9[[#This Row],[2002]:[2023]])</f>
        <v>60</v>
      </c>
    </row>
    <row r="33" spans="2:25" x14ac:dyDescent="0.25">
      <c r="B33" s="23" t="s">
        <v>32</v>
      </c>
      <c r="C33" s="24">
        <v>1</v>
      </c>
      <c r="D33" s="24">
        <v>2</v>
      </c>
      <c r="E33" s="26" t="s">
        <v>59</v>
      </c>
      <c r="F33" s="24">
        <v>1</v>
      </c>
      <c r="G33" s="24">
        <v>1</v>
      </c>
      <c r="H33" s="26" t="s">
        <v>59</v>
      </c>
      <c r="I33" s="26" t="s">
        <v>59</v>
      </c>
      <c r="J33" s="24">
        <v>2</v>
      </c>
      <c r="K33" s="24">
        <v>1</v>
      </c>
      <c r="L33" s="26" t="s">
        <v>59</v>
      </c>
      <c r="M33" s="24">
        <v>1</v>
      </c>
      <c r="N33" s="24">
        <v>1</v>
      </c>
      <c r="O33" s="24">
        <v>1</v>
      </c>
      <c r="P33" s="26" t="s">
        <v>59</v>
      </c>
      <c r="Q33" s="24">
        <v>1</v>
      </c>
      <c r="R33" s="24">
        <v>1</v>
      </c>
      <c r="S33" s="24">
        <v>2</v>
      </c>
      <c r="T33" s="24">
        <v>2</v>
      </c>
      <c r="U33" s="24">
        <v>2</v>
      </c>
      <c r="V33" s="26" t="s">
        <v>59</v>
      </c>
      <c r="W33" s="24" t="s">
        <v>59</v>
      </c>
      <c r="X33" s="24" t="s">
        <v>59</v>
      </c>
      <c r="Y33" s="25">
        <f>SUM(Tabla9[[#This Row],[2002]:[2023]])</f>
        <v>19</v>
      </c>
    </row>
    <row r="34" spans="2:25" x14ac:dyDescent="0.25">
      <c r="B34" s="28" t="s">
        <v>60</v>
      </c>
      <c r="C34" s="24" t="s">
        <v>59</v>
      </c>
      <c r="D34" s="24" t="s">
        <v>59</v>
      </c>
      <c r="E34" s="24" t="s">
        <v>59</v>
      </c>
      <c r="F34" s="24" t="s">
        <v>59</v>
      </c>
      <c r="G34" s="24" t="s">
        <v>59</v>
      </c>
      <c r="H34" s="24" t="s">
        <v>59</v>
      </c>
      <c r="I34" s="24" t="s">
        <v>59</v>
      </c>
      <c r="J34" s="24" t="s">
        <v>59</v>
      </c>
      <c r="K34" s="24" t="s">
        <v>59</v>
      </c>
      <c r="L34" s="24" t="s">
        <v>59</v>
      </c>
      <c r="M34" s="24">
        <v>1</v>
      </c>
      <c r="N34" s="24">
        <v>2</v>
      </c>
      <c r="O34" s="24">
        <v>3</v>
      </c>
      <c r="P34" s="24" t="s">
        <v>59</v>
      </c>
      <c r="Q34" s="24" t="s">
        <v>59</v>
      </c>
      <c r="R34" s="24" t="s">
        <v>59</v>
      </c>
      <c r="S34" s="24" t="s">
        <v>59</v>
      </c>
      <c r="T34" s="24" t="s">
        <v>59</v>
      </c>
      <c r="U34" s="24" t="s">
        <v>59</v>
      </c>
      <c r="V34" s="24" t="s">
        <v>59</v>
      </c>
      <c r="W34" s="24" t="s">
        <v>59</v>
      </c>
      <c r="X34" s="24" t="s">
        <v>59</v>
      </c>
      <c r="Y34" s="25">
        <f>SUM(Tabla9[[#This Row],[2002]:[2023]])</f>
        <v>6</v>
      </c>
    </row>
    <row r="35" spans="2:25" x14ac:dyDescent="0.25">
      <c r="B35" s="28" t="s">
        <v>34</v>
      </c>
      <c r="C35" s="24" t="s">
        <v>59</v>
      </c>
      <c r="D35" s="24">
        <v>1</v>
      </c>
      <c r="E35" s="24" t="s">
        <v>59</v>
      </c>
      <c r="F35" s="24" t="s">
        <v>59</v>
      </c>
      <c r="G35" s="24" t="s">
        <v>59</v>
      </c>
      <c r="H35" s="24" t="s">
        <v>59</v>
      </c>
      <c r="I35" s="24" t="s">
        <v>59</v>
      </c>
      <c r="J35" s="24" t="s">
        <v>59</v>
      </c>
      <c r="K35" s="24" t="s">
        <v>59</v>
      </c>
      <c r="L35" s="24" t="s">
        <v>59</v>
      </c>
      <c r="M35" s="24" t="s">
        <v>59</v>
      </c>
      <c r="N35" s="24" t="s">
        <v>59</v>
      </c>
      <c r="O35" s="24" t="s">
        <v>59</v>
      </c>
      <c r="P35" s="24" t="s">
        <v>59</v>
      </c>
      <c r="Q35" s="24" t="s">
        <v>59</v>
      </c>
      <c r="R35" s="24" t="s">
        <v>59</v>
      </c>
      <c r="S35" s="24" t="s">
        <v>59</v>
      </c>
      <c r="T35" s="24" t="s">
        <v>59</v>
      </c>
      <c r="U35" s="24" t="s">
        <v>59</v>
      </c>
      <c r="V35" s="24" t="s">
        <v>59</v>
      </c>
      <c r="W35" s="24" t="s">
        <v>59</v>
      </c>
      <c r="X35" s="24" t="s">
        <v>59</v>
      </c>
      <c r="Y35" s="25">
        <f>SUM(Tabla9[[#This Row],[2002]:[2023]])</f>
        <v>1</v>
      </c>
    </row>
    <row r="36" spans="2:25" x14ac:dyDescent="0.25">
      <c r="B36" s="29" t="s">
        <v>35</v>
      </c>
      <c r="C36" s="30">
        <f>SUBTOTAL(109,Tabla9[2002])</f>
        <v>335</v>
      </c>
      <c r="D36" s="30">
        <f>SUBTOTAL(109,Tabla9[2003])</f>
        <v>338</v>
      </c>
      <c r="E36" s="30">
        <f>SUBTOTAL(109,Tabla9[2004])</f>
        <v>424</v>
      </c>
      <c r="F36" s="30">
        <f>SUBTOTAL(109,Tabla9[2005])</f>
        <v>628</v>
      </c>
      <c r="G36" s="30">
        <f>SUBTOTAL(109,Tabla9[2006])</f>
        <v>754</v>
      </c>
      <c r="H36" s="30">
        <f>SUBTOTAL(109,Tabla9[2007])</f>
        <v>962</v>
      </c>
      <c r="I36" s="30">
        <f>SUBTOTAL(109,Tabla9[2008])</f>
        <v>993</v>
      </c>
      <c r="J36" s="30">
        <f>SUBTOTAL(109,Tabla9[2009])</f>
        <v>945</v>
      </c>
      <c r="K36" s="30">
        <f>SUBTOTAL(109,Tabla9[2010])</f>
        <v>1039</v>
      </c>
      <c r="L36" s="30">
        <f>SUBTOTAL(109,Tabla9[2011])</f>
        <v>1131</v>
      </c>
      <c r="M36" s="30">
        <f>SUBTOTAL(109,Tabla9[2012])</f>
        <v>1181</v>
      </c>
      <c r="N36" s="30">
        <f>SUBTOTAL(109,Tabla9[2013])</f>
        <v>1510</v>
      </c>
      <c r="O36" s="30">
        <f>SUBTOTAL(109,Tabla9[2014])</f>
        <v>1671</v>
      </c>
      <c r="P36" s="30">
        <f>SUBTOTAL(109,Tabla9[2015])</f>
        <v>1692</v>
      </c>
      <c r="Q36" s="30">
        <f>SUBTOTAL(109,Tabla9[2016])</f>
        <v>1882</v>
      </c>
      <c r="R36" s="30">
        <f>SUBTOTAL(109,Tabla9[2017])</f>
        <v>1684</v>
      </c>
      <c r="S36" s="30">
        <f>SUBTOTAL(109,Tabla9[2018])</f>
        <v>1831</v>
      </c>
      <c r="T36" s="30">
        <f>SUBTOTAL(109,Tabla9[2019])</f>
        <v>1362</v>
      </c>
      <c r="U36" s="30">
        <f>SUBTOTAL(109,Tabla9[2020])</f>
        <v>1618</v>
      </c>
      <c r="V36" s="30">
        <f>SUBTOTAL(109,Tabla9[2021])</f>
        <v>2050</v>
      </c>
      <c r="W36" s="30">
        <f>SUBTOTAL(109,Tabla9[2022])</f>
        <v>2153</v>
      </c>
      <c r="X36" s="30">
        <f>SUBTOTAL(109,Tabla9[2023])</f>
        <v>68</v>
      </c>
      <c r="Y36" s="31">
        <f>SUM(Y5:Y35)</f>
        <v>26251</v>
      </c>
    </row>
  </sheetData>
  <mergeCells count="3">
    <mergeCell ref="B3:B4"/>
    <mergeCell ref="C3:X3"/>
    <mergeCell ref="Y3:Y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9CAE-5A7F-43AC-A0B4-455239153D59}">
  <dimension ref="B3:I26"/>
  <sheetViews>
    <sheetView workbookViewId="0">
      <selection activeCell="F9" sqref="F9"/>
    </sheetView>
  </sheetViews>
  <sheetFormatPr baseColWidth="10" defaultRowHeight="15" x14ac:dyDescent="0.25"/>
  <cols>
    <col min="4" max="4" width="14.28515625" customWidth="1"/>
    <col min="5" max="5" width="15.28515625" customWidth="1"/>
    <col min="6" max="6" width="21.28515625" customWidth="1"/>
    <col min="7" max="7" width="15.7109375" customWidth="1"/>
  </cols>
  <sheetData>
    <row r="3" spans="2:9" ht="45" x14ac:dyDescent="0.25">
      <c r="B3" s="32" t="s">
        <v>61</v>
      </c>
      <c r="C3" s="33" t="s">
        <v>62</v>
      </c>
      <c r="D3" s="33" t="s">
        <v>63</v>
      </c>
      <c r="E3" s="33" t="s">
        <v>64</v>
      </c>
      <c r="F3" s="33" t="s">
        <v>65</v>
      </c>
      <c r="G3" s="33" t="s">
        <v>66</v>
      </c>
      <c r="H3" s="33" t="s">
        <v>67</v>
      </c>
      <c r="I3" s="34" t="s">
        <v>68</v>
      </c>
    </row>
    <row r="4" spans="2:9" x14ac:dyDescent="0.25">
      <c r="B4" s="35" t="s">
        <v>37</v>
      </c>
      <c r="C4" s="36">
        <v>335</v>
      </c>
      <c r="D4" s="36">
        <v>2584</v>
      </c>
      <c r="E4" s="37">
        <f>Tabla10[[#This Row],[Observaciones]]/Tabla10[[#This Row],[Auditorías]]</f>
        <v>7.7134328358208952</v>
      </c>
      <c r="F4" s="38">
        <v>2505</v>
      </c>
      <c r="G4" s="39">
        <f>Tabla10[[#This Row],[Recomendaciones]]/Tabla10[[#This Row],[Auditorías]]</f>
        <v>7.4776119402985071</v>
      </c>
      <c r="H4" s="40">
        <v>943</v>
      </c>
      <c r="I4" s="41">
        <f>Tabla10[[#This Row],[Acciones]]/Tabla10[[#This Row],[Auditorías]]</f>
        <v>2.8149253731343284</v>
      </c>
    </row>
    <row r="5" spans="2:9" x14ac:dyDescent="0.25">
      <c r="B5" s="35" t="s">
        <v>38</v>
      </c>
      <c r="C5" s="36">
        <v>338</v>
      </c>
      <c r="D5" s="36">
        <v>2644</v>
      </c>
      <c r="E5" s="37">
        <f>Tabla10[[#This Row],[Observaciones]]/Tabla10[[#This Row],[Auditorías]]</f>
        <v>7.8224852071005921</v>
      </c>
      <c r="F5" s="42">
        <v>2295</v>
      </c>
      <c r="G5" s="39">
        <f>Tabla10[[#This Row],[Recomendaciones]]/Tabla10[[#This Row],[Auditorías]]</f>
        <v>6.7899408284023668</v>
      </c>
      <c r="H5" s="43">
        <v>1208</v>
      </c>
      <c r="I5" s="41">
        <f>Tabla10[[#This Row],[Acciones]]/Tabla10[[#This Row],[Auditorías]]</f>
        <v>3.5739644970414202</v>
      </c>
    </row>
    <row r="6" spans="2:9" x14ac:dyDescent="0.25">
      <c r="B6" s="35" t="s">
        <v>39</v>
      </c>
      <c r="C6" s="36">
        <v>424</v>
      </c>
      <c r="D6" s="36">
        <v>3424</v>
      </c>
      <c r="E6" s="37">
        <f>Tabla10[[#This Row],[Observaciones]]/Tabla10[[#This Row],[Auditorías]]</f>
        <v>8.0754716981132084</v>
      </c>
      <c r="F6" s="42">
        <v>3064</v>
      </c>
      <c r="G6" s="39">
        <f>Tabla10[[#This Row],[Recomendaciones]]/Tabla10[[#This Row],[Auditorías]]</f>
        <v>7.2264150943396226</v>
      </c>
      <c r="H6" s="43">
        <v>1035</v>
      </c>
      <c r="I6" s="41">
        <f>Tabla10[[#This Row],[Acciones]]/Tabla10[[#This Row],[Auditorías]]</f>
        <v>2.4410377358490565</v>
      </c>
    </row>
    <row r="7" spans="2:9" x14ac:dyDescent="0.25">
      <c r="B7" s="35" t="s">
        <v>40</v>
      </c>
      <c r="C7" s="36">
        <v>628</v>
      </c>
      <c r="D7" s="36">
        <v>4519</v>
      </c>
      <c r="E7" s="37">
        <f>Tabla10[[#This Row],[Observaciones]]/Tabla10[[#This Row],[Auditorías]]</f>
        <v>7.1958598726114653</v>
      </c>
      <c r="F7" s="42">
        <v>4269</v>
      </c>
      <c r="G7" s="39">
        <f>Tabla10[[#This Row],[Recomendaciones]]/Tabla10[[#This Row],[Auditorías]]</f>
        <v>6.797770700636943</v>
      </c>
      <c r="H7" s="43">
        <v>1020</v>
      </c>
      <c r="I7" s="41">
        <f>Tabla10[[#This Row],[Acciones]]/Tabla10[[#This Row],[Auditorías]]</f>
        <v>1.624203821656051</v>
      </c>
    </row>
    <row r="8" spans="2:9" x14ac:dyDescent="0.25">
      <c r="B8" s="35" t="s">
        <v>41</v>
      </c>
      <c r="C8" s="36">
        <v>754</v>
      </c>
      <c r="D8" s="36">
        <v>7182</v>
      </c>
      <c r="E8" s="37">
        <f>Tabla10[[#This Row],[Observaciones]]/Tabla10[[#This Row],[Auditorías]]</f>
        <v>9.5251989389920428</v>
      </c>
      <c r="F8" s="42">
        <v>6684</v>
      </c>
      <c r="G8" s="39">
        <f>Tabla10[[#This Row],[Recomendaciones]]/Tabla10[[#This Row],[Auditorías]]</f>
        <v>8.86472148541114</v>
      </c>
      <c r="H8" s="43">
        <v>1613</v>
      </c>
      <c r="I8" s="41">
        <f>Tabla10[[#This Row],[Acciones]]/Tabla10[[#This Row],[Auditorías]]</f>
        <v>2.1392572944297084</v>
      </c>
    </row>
    <row r="9" spans="2:9" x14ac:dyDescent="0.25">
      <c r="B9" s="35" t="s">
        <v>42</v>
      </c>
      <c r="C9" s="36">
        <v>962</v>
      </c>
      <c r="D9" s="36">
        <v>9553</v>
      </c>
      <c r="E9" s="37">
        <f>Tabla10[[#This Row],[Observaciones]]/Tabla10[[#This Row],[Auditorías]]</f>
        <v>9.9303534303534295</v>
      </c>
      <c r="F9" s="42">
        <v>7620</v>
      </c>
      <c r="G9" s="39">
        <f>Tabla10[[#This Row],[Recomendaciones]]/Tabla10[[#This Row],[Auditorías]]</f>
        <v>7.9209979209979213</v>
      </c>
      <c r="H9" s="43">
        <v>3560</v>
      </c>
      <c r="I9" s="41">
        <f>Tabla10[[#This Row],[Acciones]]/Tabla10[[#This Row],[Auditorías]]</f>
        <v>3.7006237006237006</v>
      </c>
    </row>
    <row r="10" spans="2:9" x14ac:dyDescent="0.25">
      <c r="B10" s="35" t="s">
        <v>43</v>
      </c>
      <c r="C10" s="36">
        <v>993</v>
      </c>
      <c r="D10" s="36">
        <v>7746</v>
      </c>
      <c r="E10" s="37">
        <f>Tabla10[[#This Row],[Observaciones]]/Tabla10[[#This Row],[Auditorías]]</f>
        <v>7.8006042296072504</v>
      </c>
      <c r="F10" s="42">
        <v>6296</v>
      </c>
      <c r="G10" s="39">
        <f>Tabla10[[#This Row],[Recomendaciones]]/Tabla10[[#This Row],[Auditorías]]</f>
        <v>6.3403826787512587</v>
      </c>
      <c r="H10" s="43">
        <v>2773</v>
      </c>
      <c r="I10" s="41">
        <f>Tabla10[[#This Row],[Acciones]]/Tabla10[[#This Row],[Auditorías]]</f>
        <v>2.7925478348439072</v>
      </c>
    </row>
    <row r="11" spans="2:9" x14ac:dyDescent="0.25">
      <c r="B11" s="35" t="s">
        <v>44</v>
      </c>
      <c r="C11" s="36">
        <v>945</v>
      </c>
      <c r="D11" s="36">
        <v>19196</v>
      </c>
      <c r="E11" s="37">
        <f>Tabla10[[#This Row],[Observaciones]]/Tabla10[[#This Row],[Auditorías]]</f>
        <v>20.313227513227513</v>
      </c>
      <c r="F11" s="42">
        <v>5909</v>
      </c>
      <c r="G11" s="39">
        <f>Tabla10[[#This Row],[Recomendaciones]]/Tabla10[[#This Row],[Auditorías]]</f>
        <v>6.2529100529100532</v>
      </c>
      <c r="H11" s="43">
        <v>3168</v>
      </c>
      <c r="I11" s="41">
        <f>Tabla10[[#This Row],[Acciones]]/Tabla10[[#This Row],[Auditorías]]</f>
        <v>3.3523809523809525</v>
      </c>
    </row>
    <row r="12" spans="2:9" x14ac:dyDescent="0.25">
      <c r="B12" s="35" t="s">
        <v>45</v>
      </c>
      <c r="C12" s="36">
        <v>1039</v>
      </c>
      <c r="D12" s="36">
        <v>23343</v>
      </c>
      <c r="E12" s="37">
        <f>Tabla10[[#This Row],[Observaciones]]/Tabla10[[#This Row],[Auditorías]]</f>
        <v>22.46679499518768</v>
      </c>
      <c r="F12" s="42">
        <v>6935</v>
      </c>
      <c r="G12" s="39">
        <f>Tabla10[[#This Row],[Recomendaciones]]/Tabla10[[#This Row],[Auditorías]]</f>
        <v>6.6746871992300285</v>
      </c>
      <c r="H12" s="43">
        <v>4361</v>
      </c>
      <c r="I12" s="41">
        <f>Tabla10[[#This Row],[Acciones]]/Tabla10[[#This Row],[Auditorías]]</f>
        <v>4.1973051010587099</v>
      </c>
    </row>
    <row r="13" spans="2:9" x14ac:dyDescent="0.25">
      <c r="B13" s="35" t="s">
        <v>46</v>
      </c>
      <c r="C13" s="36">
        <v>1131</v>
      </c>
      <c r="D13" s="36">
        <v>22390</v>
      </c>
      <c r="E13" s="37">
        <f>Tabla10[[#This Row],[Observaciones]]/Tabla10[[#This Row],[Auditorías]]</f>
        <v>19.796640141467726</v>
      </c>
      <c r="F13" s="42">
        <v>6369</v>
      </c>
      <c r="G13" s="39">
        <f>Tabla10[[#This Row],[Recomendaciones]]/Tabla10[[#This Row],[Auditorías]]</f>
        <v>5.6312997347480103</v>
      </c>
      <c r="H13" s="43">
        <v>3955</v>
      </c>
      <c r="I13" s="41">
        <f>Tabla10[[#This Row],[Acciones]]/Tabla10[[#This Row],[Auditorías]]</f>
        <v>3.4969053934571175</v>
      </c>
    </row>
    <row r="14" spans="2:9" x14ac:dyDescent="0.25">
      <c r="B14" s="35" t="s">
        <v>47</v>
      </c>
      <c r="C14" s="36">
        <v>1181</v>
      </c>
      <c r="D14" s="36">
        <v>22964</v>
      </c>
      <c r="E14" s="37">
        <f>Tabla10[[#This Row],[Observaciones]]/Tabla10[[#This Row],[Auditorías]]</f>
        <v>19.444538526672311</v>
      </c>
      <c r="F14" s="42">
        <v>6564</v>
      </c>
      <c r="G14" s="39">
        <f>Tabla10[[#This Row],[Recomendaciones]]/Tabla10[[#This Row],[Auditorías]]</f>
        <v>5.5580016934801018</v>
      </c>
      <c r="H14" s="43">
        <v>5103</v>
      </c>
      <c r="I14" s="41">
        <f>Tabla10[[#This Row],[Acciones]]/Tabla10[[#This Row],[Auditorías]]</f>
        <v>4.3209144792548688</v>
      </c>
    </row>
    <row r="15" spans="2:9" x14ac:dyDescent="0.25">
      <c r="B15" s="35" t="s">
        <v>48</v>
      </c>
      <c r="C15" s="36">
        <v>1510</v>
      </c>
      <c r="D15" s="36">
        <v>23581</v>
      </c>
      <c r="E15" s="37">
        <f>Tabla10[[#This Row],[Observaciones]]/Tabla10[[#This Row],[Auditorías]]</f>
        <v>15.616556291390728</v>
      </c>
      <c r="F15" s="42">
        <v>6902</v>
      </c>
      <c r="G15" s="39">
        <f>Tabla10[[#This Row],[Recomendaciones]]/Tabla10[[#This Row],[Auditorías]]</f>
        <v>4.5708609271523182</v>
      </c>
      <c r="H15" s="43">
        <v>4970</v>
      </c>
      <c r="I15" s="41">
        <f>Tabla10[[#This Row],[Acciones]]/Tabla10[[#This Row],[Auditorías]]</f>
        <v>3.2913907284768213</v>
      </c>
    </row>
    <row r="16" spans="2:9" x14ac:dyDescent="0.25">
      <c r="B16" s="35" t="s">
        <v>49</v>
      </c>
      <c r="C16" s="36">
        <v>1671</v>
      </c>
      <c r="D16" s="36">
        <v>26280</v>
      </c>
      <c r="E16" s="37">
        <f>Tabla10[[#This Row],[Observaciones]]/Tabla10[[#This Row],[Auditorías]]</f>
        <v>15.727109515260324</v>
      </c>
      <c r="F16" s="42">
        <v>3366</v>
      </c>
      <c r="G16" s="39">
        <f>Tabla10[[#This Row],[Recomendaciones]]/Tabla10[[#This Row],[Auditorías]]</f>
        <v>2.0143626570915618</v>
      </c>
      <c r="H16" s="43">
        <v>6537</v>
      </c>
      <c r="I16" s="41">
        <f>Tabla10[[#This Row],[Acciones]]/Tabla10[[#This Row],[Auditorías]]</f>
        <v>3.9120287253141832</v>
      </c>
    </row>
    <row r="17" spans="2:9" x14ac:dyDescent="0.25">
      <c r="B17" s="35" t="s">
        <v>50</v>
      </c>
      <c r="C17" s="36">
        <v>1692</v>
      </c>
      <c r="D17" s="36">
        <v>26330</v>
      </c>
      <c r="E17" s="37">
        <f>Tabla10[[#This Row],[Observaciones]]/Tabla10[[#This Row],[Auditorías]]</f>
        <v>15.561465721040189</v>
      </c>
      <c r="F17" s="42">
        <v>3979</v>
      </c>
      <c r="G17" s="39">
        <f>Tabla10[[#This Row],[Recomendaciones]]/Tabla10[[#This Row],[Auditorías]]</f>
        <v>2.3516548463356974</v>
      </c>
      <c r="H17" s="43">
        <v>7088</v>
      </c>
      <c r="I17" s="41">
        <f>Tabla10[[#This Row],[Acciones]]/Tabla10[[#This Row],[Auditorías]]</f>
        <v>4.1891252955082745</v>
      </c>
    </row>
    <row r="18" spans="2:9" x14ac:dyDescent="0.25">
      <c r="B18" s="35" t="s">
        <v>51</v>
      </c>
      <c r="C18" s="36">
        <v>1882</v>
      </c>
      <c r="D18" s="36">
        <v>26799</v>
      </c>
      <c r="E18" s="37">
        <f>Tabla10[[#This Row],[Observaciones]]/Tabla10[[#This Row],[Auditorías]]</f>
        <v>14.239638682252922</v>
      </c>
      <c r="F18" s="42">
        <v>4453</v>
      </c>
      <c r="G18" s="39">
        <f>Tabla10[[#This Row],[Recomendaciones]]/Tabla10[[#This Row],[Auditorías]]</f>
        <v>2.3660998937300746</v>
      </c>
      <c r="H18" s="43">
        <v>6258</v>
      </c>
      <c r="I18" s="41">
        <f>Tabla10[[#This Row],[Acciones]]/Tabla10[[#This Row],[Auditorías]]</f>
        <v>3.3251859723698192</v>
      </c>
    </row>
    <row r="19" spans="2:9" x14ac:dyDescent="0.25">
      <c r="B19" s="35" t="s">
        <v>52</v>
      </c>
      <c r="C19" s="36">
        <v>1684</v>
      </c>
      <c r="D19" s="36">
        <v>26154</v>
      </c>
      <c r="E19" s="37">
        <f>Tabla10[[#This Row],[Observaciones]]/Tabla10[[#This Row],[Auditorías]]</f>
        <v>15.530878859857483</v>
      </c>
      <c r="F19" s="42">
        <v>4446</v>
      </c>
      <c r="G19" s="39">
        <f>Tabla10[[#This Row],[Recomendaciones]]/Tabla10[[#This Row],[Auditorías]]</f>
        <v>2.6401425178147266</v>
      </c>
      <c r="H19" s="43">
        <v>5287</v>
      </c>
      <c r="I19" s="41">
        <f>Tabla10[[#This Row],[Acciones]]/Tabla10[[#This Row],[Auditorías]]</f>
        <v>3.1395486935866983</v>
      </c>
    </row>
    <row r="20" spans="2:9" x14ac:dyDescent="0.25">
      <c r="B20" s="35" t="s">
        <v>53</v>
      </c>
      <c r="C20" s="36">
        <v>1831</v>
      </c>
      <c r="D20" s="36">
        <v>28070</v>
      </c>
      <c r="E20" s="37">
        <f>Tabla10[[#This Row],[Observaciones]]/Tabla10[[#This Row],[Auditorías]]</f>
        <v>15.330420535226652</v>
      </c>
      <c r="F20" s="42">
        <v>5013</v>
      </c>
      <c r="G20" s="39">
        <f>Tabla10[[#This Row],[Recomendaciones]]/Tabla10[[#This Row],[Auditorías]]</f>
        <v>2.7378481703986894</v>
      </c>
      <c r="H20" s="43">
        <v>5408</v>
      </c>
      <c r="I20" s="41">
        <f>Tabla10[[#This Row],[Acciones]]/Tabla10[[#This Row],[Auditorías]]</f>
        <v>2.9535772801747679</v>
      </c>
    </row>
    <row r="21" spans="2:9" x14ac:dyDescent="0.25">
      <c r="B21" s="35" t="s">
        <v>54</v>
      </c>
      <c r="C21" s="36">
        <v>1362</v>
      </c>
      <c r="D21" s="36">
        <v>21181</v>
      </c>
      <c r="E21" s="37">
        <f>Tabla10[[#This Row],[Observaciones]]/Tabla10[[#This Row],[Auditorías]]</f>
        <v>15.551395007342144</v>
      </c>
      <c r="F21" s="42">
        <v>3763</v>
      </c>
      <c r="G21" s="39">
        <f>Tabla10[[#This Row],[Recomendaciones]]/Tabla10[[#This Row],[Auditorías]]</f>
        <v>2.762848751835536</v>
      </c>
      <c r="H21" s="43">
        <v>3412</v>
      </c>
      <c r="I21" s="41">
        <f>Tabla10[[#This Row],[Acciones]]/Tabla10[[#This Row],[Auditorías]]</f>
        <v>2.5051395007342143</v>
      </c>
    </row>
    <row r="22" spans="2:9" x14ac:dyDescent="0.25">
      <c r="B22" s="35" t="s">
        <v>55</v>
      </c>
      <c r="C22" s="36">
        <v>1618</v>
      </c>
      <c r="D22" s="36">
        <v>24288</v>
      </c>
      <c r="E22" s="37">
        <f>Tabla10[[#This Row],[Observaciones]]/Tabla10[[#This Row],[Auditorías]]</f>
        <v>15.011124845488258</v>
      </c>
      <c r="F22" s="42">
        <v>2444</v>
      </c>
      <c r="G22" s="39">
        <f>Tabla10[[#This Row],[Recomendaciones]]/Tabla10[[#This Row],[Auditorías]]</f>
        <v>1.5105067985166873</v>
      </c>
      <c r="H22" s="43">
        <v>3159</v>
      </c>
      <c r="I22" s="41">
        <f>Tabla10[[#This Row],[Acciones]]/Tabla10[[#This Row],[Auditorías]]</f>
        <v>1.9524103831891224</v>
      </c>
    </row>
    <row r="23" spans="2:9" x14ac:dyDescent="0.25">
      <c r="B23" s="35" t="s">
        <v>56</v>
      </c>
      <c r="C23" s="36">
        <v>2050</v>
      </c>
      <c r="D23" s="36">
        <v>26780</v>
      </c>
      <c r="E23" s="37">
        <f>Tabla10[[#This Row],[Observaciones]]/Tabla10[[#This Row],[Auditorías]]</f>
        <v>13.063414634146341</v>
      </c>
      <c r="F23" s="44">
        <v>2317</v>
      </c>
      <c r="G23" s="39">
        <f>Tabla10[[#This Row],[Recomendaciones]]/Tabla10[[#This Row],[Auditorías]]</f>
        <v>1.1302439024390243</v>
      </c>
      <c r="H23" s="45">
        <v>3289</v>
      </c>
      <c r="I23" s="41">
        <f>Tabla10[[#This Row],[Acciones]]/Tabla10[[#This Row],[Auditorías]]</f>
        <v>1.6043902439024391</v>
      </c>
    </row>
    <row r="24" spans="2:9" x14ac:dyDescent="0.25">
      <c r="B24" s="35" t="s">
        <v>57</v>
      </c>
      <c r="C24" s="36">
        <v>2153</v>
      </c>
      <c r="D24" s="36">
        <v>25605</v>
      </c>
      <c r="E24" s="37">
        <f>Tabla10[[#This Row],[Observaciones]]/Tabla10[[#This Row],[Auditorías]]</f>
        <v>11.892707849512309</v>
      </c>
      <c r="F24" s="42">
        <v>1836</v>
      </c>
      <c r="G24" s="39">
        <f>Tabla10[[#This Row],[Recomendaciones]]/Tabla10[[#This Row],[Auditorías]]</f>
        <v>0.85276358569437993</v>
      </c>
      <c r="H24" s="43">
        <v>3647</v>
      </c>
      <c r="I24" s="41">
        <f>Tabla10[[#This Row],[Acciones]]/Tabla10[[#This Row],[Auditorías]]</f>
        <v>1.693915466790525</v>
      </c>
    </row>
    <row r="25" spans="2:9" x14ac:dyDescent="0.25">
      <c r="B25" s="35" t="s">
        <v>58</v>
      </c>
      <c r="C25" s="46">
        <v>68</v>
      </c>
      <c r="D25" s="36">
        <v>920</v>
      </c>
      <c r="E25" s="37">
        <f>Tabla10[[#This Row],[Observaciones]]/Tabla10[[#This Row],[Auditorías]]</f>
        <v>13.529411764705882</v>
      </c>
      <c r="F25" s="42">
        <v>65</v>
      </c>
      <c r="G25" s="39">
        <f>Tabla10[[#This Row],[Recomendaciones]]/Tabla10[[#This Row],[Auditorías]]</f>
        <v>0.95588235294117652</v>
      </c>
      <c r="H25" s="43">
        <v>210</v>
      </c>
      <c r="I25" s="41">
        <f>Tabla10[[#This Row],[Acciones]]/Tabla10[[#This Row],[Auditorías]]</f>
        <v>3.0882352941176472</v>
      </c>
    </row>
    <row r="26" spans="2:9" x14ac:dyDescent="0.25">
      <c r="B26" s="47" t="s">
        <v>35</v>
      </c>
      <c r="C26" s="48">
        <f>SUBTOTAL(109,C4:C25)</f>
        <v>26251</v>
      </c>
      <c r="D26" s="48">
        <f>SUBTOTAL(109,D4:D25)</f>
        <v>381533</v>
      </c>
      <c r="E26" s="49">
        <f>Tabla10[[#This Row],[Observaciones]]/Tabla10[[#This Row],[Auditorías]]</f>
        <v>14.534036798598148</v>
      </c>
      <c r="F26" s="49">
        <f>SUBTOTAL(109,F4:F25)</f>
        <v>97094</v>
      </c>
      <c r="G26" s="50">
        <f>Tabla10[[#This Row],[Recomendaciones]]/Tabla10[[#This Row],[Auditorías]]</f>
        <v>3.6986781455944535</v>
      </c>
      <c r="H26" s="51">
        <f>SUBTOTAL(109,H4:H25)</f>
        <v>78004</v>
      </c>
      <c r="I26" s="52">
        <f>Tabla10[[#This Row],[Acciones]]/Tabla10[[#This Row],[Auditorías]]</f>
        <v>2.9714677536093865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43A8-849C-4D0E-9920-F88F586B092C}">
  <dimension ref="B3:Y7"/>
  <sheetViews>
    <sheetView workbookViewId="0">
      <selection activeCell="C1" sqref="C1:Y1048576"/>
    </sheetView>
  </sheetViews>
  <sheetFormatPr baseColWidth="10" defaultRowHeight="15" x14ac:dyDescent="0.25"/>
  <cols>
    <col min="2" max="2" width="18.85546875" customWidth="1"/>
    <col min="3" max="25" width="7.42578125" customWidth="1"/>
  </cols>
  <sheetData>
    <row r="3" spans="2:25" x14ac:dyDescent="0.25">
      <c r="B3" s="53" t="s">
        <v>69</v>
      </c>
      <c r="C3" s="54" t="s">
        <v>36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 t="s">
        <v>35</v>
      </c>
    </row>
    <row r="4" spans="2:25" x14ac:dyDescent="0.25">
      <c r="B4" s="53"/>
      <c r="C4" s="32" t="s">
        <v>37</v>
      </c>
      <c r="D4" s="33" t="s">
        <v>38</v>
      </c>
      <c r="E4" s="33" t="s">
        <v>39</v>
      </c>
      <c r="F4" s="33" t="s">
        <v>40</v>
      </c>
      <c r="G4" s="33" t="s">
        <v>41</v>
      </c>
      <c r="H4" s="33" t="s">
        <v>42</v>
      </c>
      <c r="I4" s="33" t="s">
        <v>43</v>
      </c>
      <c r="J4" s="33" t="s">
        <v>44</v>
      </c>
      <c r="K4" s="33" t="s">
        <v>45</v>
      </c>
      <c r="L4" s="33" t="s">
        <v>46</v>
      </c>
      <c r="M4" s="33" t="s">
        <v>47</v>
      </c>
      <c r="N4" s="33" t="s">
        <v>48</v>
      </c>
      <c r="O4" s="33" t="s">
        <v>49</v>
      </c>
      <c r="P4" s="33" t="s">
        <v>50</v>
      </c>
      <c r="Q4" s="33" t="s">
        <v>51</v>
      </c>
      <c r="R4" s="33" t="s">
        <v>52</v>
      </c>
      <c r="S4" s="33" t="s">
        <v>53</v>
      </c>
      <c r="T4" s="33" t="s">
        <v>54</v>
      </c>
      <c r="U4" s="33" t="s">
        <v>55</v>
      </c>
      <c r="V4" s="34" t="s">
        <v>56</v>
      </c>
      <c r="W4" s="33" t="s">
        <v>57</v>
      </c>
      <c r="X4" s="33" t="s">
        <v>58</v>
      </c>
      <c r="Y4" s="57"/>
    </row>
    <row r="5" spans="2:25" ht="30" x14ac:dyDescent="0.25">
      <c r="B5" s="12" t="s">
        <v>63</v>
      </c>
      <c r="C5" s="58">
        <v>2584</v>
      </c>
      <c r="D5" s="59">
        <v>2644</v>
      </c>
      <c r="E5" s="59">
        <v>3424</v>
      </c>
      <c r="F5" s="59">
        <v>4519</v>
      </c>
      <c r="G5" s="59">
        <v>7182</v>
      </c>
      <c r="H5" s="59">
        <v>9553</v>
      </c>
      <c r="I5" s="59">
        <v>7746</v>
      </c>
      <c r="J5" s="59">
        <v>19196</v>
      </c>
      <c r="K5" s="59">
        <v>23343</v>
      </c>
      <c r="L5" s="59">
        <v>22390</v>
      </c>
      <c r="M5" s="59">
        <v>22964</v>
      </c>
      <c r="N5" s="59">
        <v>23581</v>
      </c>
      <c r="O5" s="59">
        <v>26280</v>
      </c>
      <c r="P5" s="59">
        <v>26330</v>
      </c>
      <c r="Q5" s="59">
        <v>26799</v>
      </c>
      <c r="R5" s="59">
        <v>26154</v>
      </c>
      <c r="S5" s="59">
        <v>28070</v>
      </c>
      <c r="T5" s="59">
        <v>21181</v>
      </c>
      <c r="U5" s="59">
        <v>24288</v>
      </c>
      <c r="V5" s="60">
        <v>26780</v>
      </c>
      <c r="W5" s="61">
        <v>25605</v>
      </c>
      <c r="X5" s="61">
        <v>920</v>
      </c>
      <c r="Y5" s="62">
        <f>SUM(Tabla11[[#This Row],[2002]:[2023]])</f>
        <v>381533</v>
      </c>
    </row>
    <row r="6" spans="2:25" ht="30" x14ac:dyDescent="0.25">
      <c r="B6" s="12" t="s">
        <v>65</v>
      </c>
      <c r="C6" s="58">
        <v>2505</v>
      </c>
      <c r="D6" s="59">
        <v>2295</v>
      </c>
      <c r="E6" s="59">
        <v>3064</v>
      </c>
      <c r="F6" s="59">
        <v>4269</v>
      </c>
      <c r="G6" s="59">
        <v>6684</v>
      </c>
      <c r="H6" s="59">
        <v>7620</v>
      </c>
      <c r="I6" s="59">
        <v>6296</v>
      </c>
      <c r="J6" s="59">
        <v>5909</v>
      </c>
      <c r="K6" s="59">
        <v>6935</v>
      </c>
      <c r="L6" s="59">
        <v>6369</v>
      </c>
      <c r="M6" s="59">
        <v>6564</v>
      </c>
      <c r="N6" s="59">
        <v>6902</v>
      </c>
      <c r="O6" s="59">
        <v>3366</v>
      </c>
      <c r="P6" s="59">
        <v>3979</v>
      </c>
      <c r="Q6" s="59">
        <v>4453</v>
      </c>
      <c r="R6" s="59">
        <v>4446</v>
      </c>
      <c r="S6" s="59">
        <v>5013</v>
      </c>
      <c r="T6" s="59">
        <v>3763</v>
      </c>
      <c r="U6" s="59">
        <v>2444</v>
      </c>
      <c r="V6" s="60">
        <v>2317</v>
      </c>
      <c r="W6" s="59">
        <v>1836</v>
      </c>
      <c r="X6" s="59">
        <v>65</v>
      </c>
      <c r="Y6" s="62">
        <f>SUM(Tabla11[[#This Row],[2002]:[2023]])</f>
        <v>97094</v>
      </c>
    </row>
    <row r="7" spans="2:25" x14ac:dyDescent="0.25">
      <c r="B7" s="12" t="s">
        <v>67</v>
      </c>
      <c r="C7" s="58">
        <v>943</v>
      </c>
      <c r="D7" s="59">
        <v>1208</v>
      </c>
      <c r="E7" s="59">
        <v>1035</v>
      </c>
      <c r="F7" s="59">
        <v>1020</v>
      </c>
      <c r="G7" s="59">
        <v>1613</v>
      </c>
      <c r="H7" s="59">
        <v>3560</v>
      </c>
      <c r="I7" s="59">
        <v>2773</v>
      </c>
      <c r="J7" s="59">
        <v>3168</v>
      </c>
      <c r="K7" s="59">
        <v>4361</v>
      </c>
      <c r="L7" s="59">
        <v>3955</v>
      </c>
      <c r="M7" s="59">
        <v>5103</v>
      </c>
      <c r="N7" s="59">
        <v>4970</v>
      </c>
      <c r="O7" s="59">
        <v>6537</v>
      </c>
      <c r="P7" s="59">
        <v>7088</v>
      </c>
      <c r="Q7" s="59">
        <v>6258</v>
      </c>
      <c r="R7" s="59">
        <v>5287</v>
      </c>
      <c r="S7" s="59">
        <v>5408</v>
      </c>
      <c r="T7" s="59">
        <v>3412</v>
      </c>
      <c r="U7" s="59">
        <v>3159</v>
      </c>
      <c r="V7" s="60">
        <v>3289</v>
      </c>
      <c r="W7" s="59">
        <v>3647</v>
      </c>
      <c r="X7" s="59">
        <v>210</v>
      </c>
      <c r="Y7" s="62">
        <f>SUM(Tabla11[[#This Row],[2002]:[2023]])</f>
        <v>78004</v>
      </c>
    </row>
  </sheetData>
  <mergeCells count="3">
    <mergeCell ref="B3:B4"/>
    <mergeCell ref="C3:X3"/>
    <mergeCell ref="Y3:Y4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945B-1881-44C3-BA43-177A2D6B41DA}">
  <dimension ref="A1"/>
  <sheetViews>
    <sheetView workbookViewId="0">
      <selection activeCell="V26" sqref="V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D3B9-CA05-41E0-9D0D-8CA35F7BF18F}">
  <dimension ref="B3:Y14"/>
  <sheetViews>
    <sheetView workbookViewId="0">
      <selection activeCell="C1" sqref="C1:X1048576"/>
    </sheetView>
  </sheetViews>
  <sheetFormatPr baseColWidth="10" defaultRowHeight="15" x14ac:dyDescent="0.25"/>
  <cols>
    <col min="3" max="25" width="6.85546875" customWidth="1"/>
  </cols>
  <sheetData>
    <row r="3" spans="2:25" x14ac:dyDescent="0.25">
      <c r="B3" s="63" t="s">
        <v>69</v>
      </c>
      <c r="C3" s="64" t="s">
        <v>36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  <c r="Y3" s="67" t="s">
        <v>35</v>
      </c>
    </row>
    <row r="4" spans="2:25" x14ac:dyDescent="0.25">
      <c r="B4" s="63"/>
      <c r="C4" s="68" t="s">
        <v>37</v>
      </c>
      <c r="D4" s="68" t="s">
        <v>38</v>
      </c>
      <c r="E4" s="68" t="s">
        <v>39</v>
      </c>
      <c r="F4" s="68" t="s">
        <v>40</v>
      </c>
      <c r="G4" s="68" t="s">
        <v>41</v>
      </c>
      <c r="H4" s="68" t="s">
        <v>42</v>
      </c>
      <c r="I4" s="68" t="s">
        <v>43</v>
      </c>
      <c r="J4" s="68" t="s">
        <v>44</v>
      </c>
      <c r="K4" s="68" t="s">
        <v>45</v>
      </c>
      <c r="L4" s="68" t="s">
        <v>46</v>
      </c>
      <c r="M4" s="68" t="s">
        <v>47</v>
      </c>
      <c r="N4" s="68" t="s">
        <v>48</v>
      </c>
      <c r="O4" s="68" t="s">
        <v>49</v>
      </c>
      <c r="P4" s="68" t="s">
        <v>50</v>
      </c>
      <c r="Q4" s="68" t="s">
        <v>51</v>
      </c>
      <c r="R4" s="68" t="s">
        <v>52</v>
      </c>
      <c r="S4" s="68" t="s">
        <v>53</v>
      </c>
      <c r="T4" s="68" t="s">
        <v>54</v>
      </c>
      <c r="U4" s="68" t="s">
        <v>55</v>
      </c>
      <c r="V4" s="68" t="s">
        <v>56</v>
      </c>
      <c r="W4" s="69" t="s">
        <v>57</v>
      </c>
      <c r="X4" s="69" t="s">
        <v>58</v>
      </c>
      <c r="Y4" s="67"/>
    </row>
    <row r="5" spans="2:25" x14ac:dyDescent="0.25">
      <c r="B5" s="70" t="s">
        <v>70</v>
      </c>
      <c r="C5" s="71">
        <v>2227</v>
      </c>
      <c r="D5" s="71">
        <v>1957</v>
      </c>
      <c r="E5" s="71">
        <v>2554</v>
      </c>
      <c r="F5" s="71">
        <v>3810</v>
      </c>
      <c r="G5" s="71">
        <v>6078</v>
      </c>
      <c r="H5" s="71">
        <v>6176</v>
      </c>
      <c r="I5" s="71">
        <v>5105</v>
      </c>
      <c r="J5" s="71">
        <v>4568</v>
      </c>
      <c r="K5" s="71">
        <v>5734</v>
      </c>
      <c r="L5" s="71">
        <v>5312</v>
      </c>
      <c r="M5" s="71">
        <v>5215</v>
      </c>
      <c r="N5" s="71">
        <v>5299</v>
      </c>
      <c r="O5" s="71">
        <v>2234</v>
      </c>
      <c r="P5" s="71">
        <v>2772</v>
      </c>
      <c r="Q5" s="71">
        <v>3278</v>
      </c>
      <c r="R5" s="71">
        <v>2415</v>
      </c>
      <c r="S5" s="71">
        <v>2225</v>
      </c>
      <c r="T5" s="71">
        <v>1737</v>
      </c>
      <c r="U5" s="71">
        <v>1598</v>
      </c>
      <c r="V5" s="71">
        <v>1801</v>
      </c>
      <c r="W5" s="72">
        <v>1280</v>
      </c>
      <c r="X5" s="72">
        <v>65</v>
      </c>
      <c r="Y5" s="73">
        <f>SUM(Tabla12[[#This Row],[2002]:[2023]])</f>
        <v>73440</v>
      </c>
    </row>
    <row r="6" spans="2:25" x14ac:dyDescent="0.25">
      <c r="B6" s="70" t="s">
        <v>71</v>
      </c>
      <c r="C6" s="71">
        <v>7</v>
      </c>
      <c r="D6" s="71">
        <v>40</v>
      </c>
      <c r="E6" s="71">
        <v>349</v>
      </c>
      <c r="F6" s="71">
        <v>461</v>
      </c>
      <c r="G6" s="71">
        <v>563</v>
      </c>
      <c r="H6" s="71">
        <v>1631</v>
      </c>
      <c r="I6" s="71">
        <v>1116</v>
      </c>
      <c r="J6" s="71">
        <v>1385</v>
      </c>
      <c r="K6" s="71">
        <v>1911</v>
      </c>
      <c r="L6" s="71">
        <v>1652</v>
      </c>
      <c r="M6" s="71">
        <v>1819</v>
      </c>
      <c r="N6" s="71">
        <v>1361</v>
      </c>
      <c r="O6" s="71">
        <v>2134</v>
      </c>
      <c r="P6" s="71">
        <v>2715</v>
      </c>
      <c r="Q6" s="71">
        <v>2560</v>
      </c>
      <c r="R6" s="71">
        <v>2792</v>
      </c>
      <c r="S6" s="71">
        <v>2462</v>
      </c>
      <c r="T6" s="71">
        <v>1587</v>
      </c>
      <c r="U6" s="71">
        <v>1484</v>
      </c>
      <c r="V6" s="71">
        <v>1564</v>
      </c>
      <c r="W6" s="71">
        <v>1730</v>
      </c>
      <c r="X6" s="71">
        <v>94</v>
      </c>
      <c r="Y6" s="73">
        <f>SUM(Tabla12[[#This Row],[2002]:[2023]])</f>
        <v>31417</v>
      </c>
    </row>
    <row r="7" spans="2:25" x14ac:dyDescent="0.25">
      <c r="B7" s="70" t="s">
        <v>72</v>
      </c>
      <c r="C7" s="71">
        <v>102</v>
      </c>
      <c r="D7" s="71">
        <v>192</v>
      </c>
      <c r="E7" s="71">
        <v>332</v>
      </c>
      <c r="F7" s="71">
        <v>285</v>
      </c>
      <c r="G7" s="71">
        <v>360</v>
      </c>
      <c r="H7" s="71">
        <v>1174</v>
      </c>
      <c r="I7" s="71">
        <v>1109</v>
      </c>
      <c r="J7" s="71">
        <v>996</v>
      </c>
      <c r="K7" s="71">
        <v>1337</v>
      </c>
      <c r="L7" s="71">
        <v>1239</v>
      </c>
      <c r="M7" s="71">
        <v>1910</v>
      </c>
      <c r="N7" s="71">
        <v>2033</v>
      </c>
      <c r="O7" s="71">
        <v>2226</v>
      </c>
      <c r="P7" s="71">
        <v>2782</v>
      </c>
      <c r="Q7" s="71">
        <v>2810</v>
      </c>
      <c r="R7" s="71">
        <v>2058</v>
      </c>
      <c r="S7" s="71">
        <v>2550</v>
      </c>
      <c r="T7" s="71">
        <v>1508</v>
      </c>
      <c r="U7" s="71">
        <v>1333</v>
      </c>
      <c r="V7" s="71">
        <v>1429</v>
      </c>
      <c r="W7" s="71">
        <v>1630</v>
      </c>
      <c r="X7" s="71">
        <v>112</v>
      </c>
      <c r="Y7" s="73">
        <f>SUM(Tabla12[[#This Row],[2002]:[2023]])</f>
        <v>29507</v>
      </c>
    </row>
    <row r="8" spans="2:25" x14ac:dyDescent="0.25">
      <c r="B8" s="70" t="s">
        <v>73</v>
      </c>
      <c r="C8" s="71">
        <v>278</v>
      </c>
      <c r="D8" s="71">
        <v>338</v>
      </c>
      <c r="E8" s="71">
        <v>510</v>
      </c>
      <c r="F8" s="71">
        <v>459</v>
      </c>
      <c r="G8" s="71">
        <v>606</v>
      </c>
      <c r="H8" s="71">
        <v>1444</v>
      </c>
      <c r="I8" s="71">
        <v>1191</v>
      </c>
      <c r="J8" s="71">
        <v>1341</v>
      </c>
      <c r="K8" s="71">
        <v>1201</v>
      </c>
      <c r="L8" s="71">
        <v>1057</v>
      </c>
      <c r="M8" s="71">
        <v>1349</v>
      </c>
      <c r="N8" s="71">
        <v>1603</v>
      </c>
      <c r="O8" s="71">
        <v>1132</v>
      </c>
      <c r="P8" s="71">
        <v>1207</v>
      </c>
      <c r="Q8" s="71">
        <v>1175</v>
      </c>
      <c r="R8" s="71">
        <v>2031</v>
      </c>
      <c r="S8" s="71">
        <v>2788</v>
      </c>
      <c r="T8" s="71">
        <v>2026</v>
      </c>
      <c r="U8" s="71">
        <v>846</v>
      </c>
      <c r="V8" s="71">
        <v>516</v>
      </c>
      <c r="W8" s="71">
        <v>556</v>
      </c>
      <c r="X8" s="71" t="s">
        <v>59</v>
      </c>
      <c r="Y8" s="73">
        <f>SUM(Tabla12[[#This Row],[2002]:[2023]])</f>
        <v>23654</v>
      </c>
    </row>
    <row r="9" spans="2:25" x14ac:dyDescent="0.25">
      <c r="B9" s="70" t="s">
        <v>74</v>
      </c>
      <c r="C9" s="71">
        <v>336</v>
      </c>
      <c r="D9" s="71">
        <v>540</v>
      </c>
      <c r="E9" s="71">
        <v>221</v>
      </c>
      <c r="F9" s="71">
        <v>144</v>
      </c>
      <c r="G9" s="71">
        <v>357</v>
      </c>
      <c r="H9" s="71">
        <v>384</v>
      </c>
      <c r="I9" s="71">
        <v>211</v>
      </c>
      <c r="J9" s="71">
        <v>382</v>
      </c>
      <c r="K9" s="71">
        <v>439</v>
      </c>
      <c r="L9" s="71">
        <v>409</v>
      </c>
      <c r="M9" s="71">
        <v>591</v>
      </c>
      <c r="N9" s="71">
        <v>783</v>
      </c>
      <c r="O9" s="71">
        <v>1208</v>
      </c>
      <c r="P9" s="71">
        <v>377</v>
      </c>
      <c r="Q9" s="71">
        <v>643</v>
      </c>
      <c r="R9" s="71">
        <v>204</v>
      </c>
      <c r="S9" s="71">
        <v>147</v>
      </c>
      <c r="T9" s="71">
        <v>194</v>
      </c>
      <c r="U9" s="71">
        <v>204</v>
      </c>
      <c r="V9" s="71">
        <v>181</v>
      </c>
      <c r="W9" s="71">
        <v>111</v>
      </c>
      <c r="X9" s="71">
        <v>1</v>
      </c>
      <c r="Y9" s="73">
        <f>SUM(Tabla12[[#This Row],[2002]:[2023]])</f>
        <v>8067</v>
      </c>
    </row>
    <row r="10" spans="2:25" x14ac:dyDescent="0.25">
      <c r="B10" s="70" t="s">
        <v>75</v>
      </c>
      <c r="C10" s="71">
        <v>14</v>
      </c>
      <c r="D10" s="71">
        <v>34</v>
      </c>
      <c r="E10" s="71">
        <v>70</v>
      </c>
      <c r="F10" s="71">
        <v>62</v>
      </c>
      <c r="G10" s="71">
        <v>85</v>
      </c>
      <c r="H10" s="71">
        <v>286</v>
      </c>
      <c r="I10" s="71">
        <v>226</v>
      </c>
      <c r="J10" s="71">
        <v>226</v>
      </c>
      <c r="K10" s="71">
        <v>414</v>
      </c>
      <c r="L10" s="71">
        <v>381</v>
      </c>
      <c r="M10" s="71">
        <v>476</v>
      </c>
      <c r="N10" s="71">
        <v>633</v>
      </c>
      <c r="O10" s="71">
        <v>799</v>
      </c>
      <c r="P10" s="71">
        <v>1077</v>
      </c>
      <c r="Q10" s="71">
        <v>1</v>
      </c>
      <c r="R10" s="74" t="s">
        <v>59</v>
      </c>
      <c r="S10" s="74" t="s">
        <v>59</v>
      </c>
      <c r="T10" s="74" t="s">
        <v>59</v>
      </c>
      <c r="U10" s="74" t="s">
        <v>59</v>
      </c>
      <c r="V10" s="74" t="s">
        <v>59</v>
      </c>
      <c r="W10" s="74" t="s">
        <v>59</v>
      </c>
      <c r="X10" s="71" t="s">
        <v>59</v>
      </c>
      <c r="Y10" s="73">
        <f>SUM(Tabla12[[#This Row],[2002]:[2023]])</f>
        <v>4784</v>
      </c>
    </row>
    <row r="11" spans="2:25" x14ac:dyDescent="0.25">
      <c r="B11" s="70" t="s">
        <v>76</v>
      </c>
      <c r="C11" s="71">
        <v>20</v>
      </c>
      <c r="D11" s="71">
        <v>19</v>
      </c>
      <c r="E11" s="71">
        <v>19</v>
      </c>
      <c r="F11" s="71">
        <v>15</v>
      </c>
      <c r="G11" s="71">
        <v>27</v>
      </c>
      <c r="H11" s="71">
        <v>77</v>
      </c>
      <c r="I11" s="71">
        <v>76</v>
      </c>
      <c r="J11" s="71">
        <v>67</v>
      </c>
      <c r="K11" s="71">
        <v>100</v>
      </c>
      <c r="L11" s="71">
        <v>110</v>
      </c>
      <c r="M11" s="71">
        <v>86</v>
      </c>
      <c r="N11" s="71">
        <v>57</v>
      </c>
      <c r="O11" s="71">
        <v>76</v>
      </c>
      <c r="P11" s="71">
        <v>75</v>
      </c>
      <c r="Q11" s="71">
        <v>196</v>
      </c>
      <c r="R11" s="71">
        <v>143</v>
      </c>
      <c r="S11" s="71">
        <v>206</v>
      </c>
      <c r="T11" s="71">
        <v>116</v>
      </c>
      <c r="U11" s="71">
        <v>123</v>
      </c>
      <c r="V11" s="71">
        <v>115</v>
      </c>
      <c r="W11" s="71">
        <v>176</v>
      </c>
      <c r="X11" s="71">
        <v>3</v>
      </c>
      <c r="Y11" s="73">
        <f>SUM(Tabla12[[#This Row],[2002]:[2023]])</f>
        <v>1902</v>
      </c>
    </row>
    <row r="12" spans="2:25" x14ac:dyDescent="0.25">
      <c r="B12" s="70" t="s">
        <v>77</v>
      </c>
      <c r="C12" s="74" t="s">
        <v>59</v>
      </c>
      <c r="D12" s="71">
        <v>1</v>
      </c>
      <c r="E12" s="71">
        <v>4</v>
      </c>
      <c r="F12" s="71">
        <v>3</v>
      </c>
      <c r="G12" s="71">
        <v>4</v>
      </c>
      <c r="H12" s="71">
        <v>2</v>
      </c>
      <c r="I12" s="75">
        <v>35</v>
      </c>
      <c r="J12" s="75">
        <v>112</v>
      </c>
      <c r="K12" s="75">
        <v>160</v>
      </c>
      <c r="L12" s="75">
        <v>164</v>
      </c>
      <c r="M12" s="71">
        <v>221</v>
      </c>
      <c r="N12" s="71">
        <v>103</v>
      </c>
      <c r="O12" s="71">
        <v>94</v>
      </c>
      <c r="P12" s="71">
        <v>62</v>
      </c>
      <c r="Q12" s="71">
        <v>48</v>
      </c>
      <c r="R12" s="71">
        <v>90</v>
      </c>
      <c r="S12" s="71">
        <v>43</v>
      </c>
      <c r="T12" s="71">
        <v>7</v>
      </c>
      <c r="U12" s="71">
        <v>15</v>
      </c>
      <c r="V12" s="74" t="s">
        <v>59</v>
      </c>
      <c r="W12" s="74" t="s">
        <v>59</v>
      </c>
      <c r="X12" s="71" t="s">
        <v>59</v>
      </c>
      <c r="Y12" s="73">
        <f>SUM(Tabla12[[#This Row],[2002]:[2023]])</f>
        <v>1168</v>
      </c>
    </row>
    <row r="13" spans="2:25" x14ac:dyDescent="0.25">
      <c r="B13" s="70" t="s">
        <v>78</v>
      </c>
      <c r="C13" s="76">
        <v>464</v>
      </c>
      <c r="D13" s="71">
        <v>382</v>
      </c>
      <c r="E13" s="71">
        <v>40</v>
      </c>
      <c r="F13" s="71">
        <v>50</v>
      </c>
      <c r="G13" s="71">
        <v>217</v>
      </c>
      <c r="H13" s="71">
        <v>6</v>
      </c>
      <c r="I13" s="77" t="s">
        <v>59</v>
      </c>
      <c r="J13" s="71" t="s">
        <v>59</v>
      </c>
      <c r="K13" s="71" t="s">
        <v>59</v>
      </c>
      <c r="L13" s="71" t="s">
        <v>59</v>
      </c>
      <c r="M13" s="71" t="s">
        <v>59</v>
      </c>
      <c r="N13" s="71" t="s">
        <v>59</v>
      </c>
      <c r="O13" s="71" t="s">
        <v>59</v>
      </c>
      <c r="P13" s="71" t="s">
        <v>59</v>
      </c>
      <c r="Q13" s="71" t="s">
        <v>59</v>
      </c>
      <c r="R13" s="71" t="s">
        <v>59</v>
      </c>
      <c r="S13" s="71" t="s">
        <v>59</v>
      </c>
      <c r="T13" s="71" t="s">
        <v>59</v>
      </c>
      <c r="U13" s="71" t="s">
        <v>59</v>
      </c>
      <c r="V13" s="78" t="s">
        <v>59</v>
      </c>
      <c r="W13" s="71" t="s">
        <v>59</v>
      </c>
      <c r="X13" s="71" t="s">
        <v>59</v>
      </c>
      <c r="Y13" s="73">
        <f>SUM(Tabla12[[#This Row],[2002]:[2023]])</f>
        <v>1159</v>
      </c>
    </row>
    <row r="14" spans="2:25" x14ac:dyDescent="0.25">
      <c r="B14" s="70" t="s">
        <v>35</v>
      </c>
      <c r="C14" s="73">
        <f>SUBTOTAL(109,Tabla12[2002])</f>
        <v>3448</v>
      </c>
      <c r="D14" s="73">
        <f>SUBTOTAL(109,Tabla12[2003])</f>
        <v>3503</v>
      </c>
      <c r="E14" s="73">
        <f>SUBTOTAL(109,Tabla12[2004])</f>
        <v>4099</v>
      </c>
      <c r="F14" s="73">
        <f>SUBTOTAL(109,Tabla12[2005])</f>
        <v>5289</v>
      </c>
      <c r="G14" s="73">
        <f>SUBTOTAL(109,Tabla12[2006])</f>
        <v>8297</v>
      </c>
      <c r="H14" s="73">
        <f>SUBTOTAL(109,Tabla12[2007])</f>
        <v>11180</v>
      </c>
      <c r="I14" s="73">
        <f>SUBTOTAL(109,Tabla12[2008])</f>
        <v>9069</v>
      </c>
      <c r="J14" s="73">
        <f>SUBTOTAL(109,Tabla12[2009])</f>
        <v>9077</v>
      </c>
      <c r="K14" s="73">
        <f>SUBTOTAL(109,Tabla12[2010])</f>
        <v>11296</v>
      </c>
      <c r="L14" s="73">
        <f>SUBTOTAL(109,Tabla12[2011])</f>
        <v>10324</v>
      </c>
      <c r="M14" s="73">
        <f>SUBTOTAL(109,Tabla12[2012])</f>
        <v>11667</v>
      </c>
      <c r="N14" s="73">
        <f>SUBTOTAL(109,Tabla12[2013])</f>
        <v>11872</v>
      </c>
      <c r="O14" s="73">
        <f>SUBTOTAL(109,Tabla12[2014])</f>
        <v>9903</v>
      </c>
      <c r="P14" s="73">
        <f>SUBTOTAL(109,Tabla12[2015])</f>
        <v>11067</v>
      </c>
      <c r="Q14" s="73">
        <f>SUBTOTAL(109,Tabla12[2016])</f>
        <v>10711</v>
      </c>
      <c r="R14" s="73">
        <f>SUBTOTAL(109,Tabla12[2017])</f>
        <v>9733</v>
      </c>
      <c r="S14" s="73">
        <f>SUBTOTAL(109,Tabla12[2018])</f>
        <v>10421</v>
      </c>
      <c r="T14" s="73">
        <f>SUBTOTAL(109,Tabla12[2019])</f>
        <v>7175</v>
      </c>
      <c r="U14" s="73">
        <f>SUBTOTAL(109,Tabla12[2020])</f>
        <v>5603</v>
      </c>
      <c r="V14" s="73">
        <f>SUBTOTAL(109,Tabla12[2021])</f>
        <v>5606</v>
      </c>
      <c r="W14" s="73">
        <f>SUBTOTAL(109,Tabla12[2022])</f>
        <v>5483</v>
      </c>
      <c r="X14" s="73">
        <f>SUBTOTAL(109,Tabla12[2023])</f>
        <v>275</v>
      </c>
      <c r="Y14" s="73">
        <f>SUM(Y5:Y13)</f>
        <v>175098</v>
      </c>
    </row>
  </sheetData>
  <mergeCells count="3">
    <mergeCell ref="B3:B4"/>
    <mergeCell ref="C3:X3"/>
    <mergeCell ref="Y3:Y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C7EE-FCF0-417F-86B0-6B3EB6DA975D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Hoja34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Adrian Acuña Anaya</dc:creator>
  <cp:lastModifiedBy>Arturo Adrian Acuña Anaya</cp:lastModifiedBy>
  <dcterms:created xsi:type="dcterms:W3CDTF">2024-11-27T19:50:17Z</dcterms:created>
  <dcterms:modified xsi:type="dcterms:W3CDTF">2024-11-27T20:22:51Z</dcterms:modified>
</cp:coreProperties>
</file>