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6.xml" ContentType="application/vnd.openxmlformats-officedocument.spreadsheetml.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AESII\DGICR\DEIA\SIE\Informe Estadístico\"/>
    </mc:Choice>
  </mc:AlternateContent>
  <xr:revisionPtr revIDLastSave="0" documentId="8_{E3A690AD-1597-47D4-A715-8A23EF2F4F8F}" xr6:coauthVersionLast="47" xr6:coauthVersionMax="47" xr10:uidLastSave="{00000000-0000-0000-0000-000000000000}"/>
  <bookViews>
    <workbookView xWindow="-120" yWindow="-120" windowWidth="29040" windowHeight="15720" firstSheet="22" activeTab="34" xr2:uid="{889E0C9B-E34E-4130-994C-AEA728CCED0B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  <sheet name="Hoja18" sheetId="18" r:id="rId18"/>
    <sheet name="Hoja19" sheetId="19" r:id="rId19"/>
    <sheet name="Hoja20" sheetId="20" r:id="rId20"/>
    <sheet name="Hoja21" sheetId="21" r:id="rId21"/>
    <sheet name="Hoja22" sheetId="22" r:id="rId22"/>
    <sheet name="Hoja23" sheetId="23" r:id="rId23"/>
    <sheet name="Hoja24" sheetId="24" r:id="rId24"/>
    <sheet name="Hoja25" sheetId="25" r:id="rId25"/>
    <sheet name="Hoja26" sheetId="26" r:id="rId26"/>
    <sheet name="Hoja27" sheetId="27" r:id="rId27"/>
    <sheet name="Hoja28" sheetId="28" r:id="rId28"/>
    <sheet name="Hoja29" sheetId="29" r:id="rId29"/>
    <sheet name="Hoja30" sheetId="30" r:id="rId30"/>
    <sheet name="Hoja31" sheetId="31" r:id="rId31"/>
    <sheet name="Hoja32" sheetId="32" r:id="rId32"/>
    <sheet name="Hoja33" sheetId="33" r:id="rId33"/>
    <sheet name="Hoja34" sheetId="34" r:id="rId34"/>
    <sheet name="Hoja35" sheetId="35" r:id="rId35"/>
  </sheets>
  <externalReferences>
    <externalReference r:id="rId3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35" l="1"/>
  <c r="V37" i="35"/>
  <c r="U37" i="35"/>
  <c r="T37" i="35"/>
  <c r="T41" i="35" s="1"/>
  <c r="S37" i="35"/>
  <c r="S41" i="35" s="1"/>
  <c r="R37" i="35"/>
  <c r="R41" i="35" s="1"/>
  <c r="Q37" i="35"/>
  <c r="Q41" i="35" s="1"/>
  <c r="P37" i="35"/>
  <c r="O37" i="35"/>
  <c r="O41" i="35" s="1"/>
  <c r="N37" i="35"/>
  <c r="N41" i="35" s="1"/>
  <c r="M37" i="35"/>
  <c r="M41" i="35" s="1"/>
  <c r="L37" i="35"/>
  <c r="L41" i="35" s="1"/>
  <c r="K37" i="35"/>
  <c r="K41" i="35" s="1"/>
  <c r="J37" i="35"/>
  <c r="J41" i="35" s="1"/>
  <c r="I37" i="35"/>
  <c r="I41" i="35" s="1"/>
  <c r="H37" i="35"/>
  <c r="H41" i="35" s="1"/>
  <c r="G37" i="35"/>
  <c r="G41" i="35" s="1"/>
  <c r="F37" i="35"/>
  <c r="F41" i="35" s="1"/>
  <c r="E37" i="35"/>
  <c r="E41" i="35" s="1"/>
  <c r="D37" i="35"/>
  <c r="D41" i="35" s="1"/>
  <c r="C37" i="35"/>
  <c r="C41" i="35" s="1"/>
  <c r="W36" i="35"/>
  <c r="W35" i="35"/>
  <c r="W34" i="35"/>
  <c r="W33" i="35"/>
  <c r="W32" i="35"/>
  <c r="W31" i="35"/>
  <c r="W30" i="35"/>
  <c r="W29" i="35"/>
  <c r="W28" i="35"/>
  <c r="W27" i="35"/>
  <c r="W26" i="35"/>
  <c r="W25" i="35"/>
  <c r="W24" i="35"/>
  <c r="W23" i="35"/>
  <c r="W22" i="35"/>
  <c r="W21" i="35"/>
  <c r="W20" i="35"/>
  <c r="W19" i="35"/>
  <c r="W18" i="35"/>
  <c r="W17" i="35"/>
  <c r="W37" i="35" s="1"/>
  <c r="W41" i="35" s="1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R31" i="33"/>
  <c r="R30" i="33"/>
  <c r="R29" i="33"/>
  <c r="R28" i="33"/>
  <c r="R27" i="33"/>
  <c r="R26" i="33"/>
  <c r="R25" i="33"/>
  <c r="R24" i="33"/>
  <c r="R23" i="33"/>
  <c r="R22" i="33"/>
  <c r="R21" i="33"/>
  <c r="R20" i="33"/>
  <c r="R19" i="33"/>
  <c r="R18" i="33"/>
  <c r="R17" i="33"/>
  <c r="R16" i="33"/>
  <c r="R15" i="33"/>
  <c r="R14" i="33"/>
  <c r="R13" i="33"/>
  <c r="R12" i="33"/>
  <c r="R11" i="33"/>
  <c r="R10" i="33"/>
  <c r="R9" i="33"/>
  <c r="R8" i="33"/>
  <c r="R7" i="33"/>
  <c r="R6" i="33"/>
  <c r="R5" i="33"/>
  <c r="R32" i="33" s="1"/>
  <c r="G19" i="32"/>
  <c r="F19" i="32"/>
  <c r="E19" i="32"/>
  <c r="D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4" i="32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Z33" i="30" s="1"/>
  <c r="Z32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5" i="30"/>
  <c r="Z14" i="30"/>
  <c r="Z13" i="30"/>
  <c r="Z12" i="30"/>
  <c r="Z11" i="30"/>
  <c r="Z10" i="30"/>
  <c r="Z9" i="30"/>
  <c r="Z8" i="30"/>
  <c r="Z7" i="30"/>
  <c r="Z6" i="30"/>
  <c r="Z5" i="30"/>
  <c r="Z4" i="30"/>
  <c r="F28" i="29"/>
  <c r="E28" i="29"/>
  <c r="D28" i="29"/>
  <c r="G28" i="29" s="1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A34" i="27" s="1"/>
  <c r="AA33" i="27"/>
  <c r="AA32" i="27"/>
  <c r="AA31" i="27"/>
  <c r="AA30" i="27"/>
  <c r="AA29" i="27"/>
  <c r="AA28" i="27"/>
  <c r="AA27" i="27"/>
  <c r="AA26" i="27"/>
  <c r="AA25" i="27"/>
  <c r="AA24" i="27"/>
  <c r="AA23" i="27"/>
  <c r="AA22" i="27"/>
  <c r="AA21" i="27"/>
  <c r="AA20" i="27"/>
  <c r="AA19" i="27"/>
  <c r="AA18" i="27"/>
  <c r="AA17" i="27"/>
  <c r="AA16" i="27"/>
  <c r="AA15" i="27"/>
  <c r="AA14" i="27"/>
  <c r="AA13" i="27"/>
  <c r="AA12" i="27"/>
  <c r="AA11" i="27"/>
  <c r="AA10" i="27"/>
  <c r="AA9" i="27"/>
  <c r="AA8" i="27"/>
  <c r="AA7" i="27"/>
  <c r="AA6" i="27"/>
  <c r="AA5" i="27"/>
  <c r="E27" i="26"/>
  <c r="D27" i="26"/>
  <c r="C27" i="26"/>
  <c r="B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Z34" i="24"/>
  <c r="Z33" i="24"/>
  <c r="Z32" i="24"/>
  <c r="Z31" i="24"/>
  <c r="Z30" i="24"/>
  <c r="Z29" i="24"/>
  <c r="Z28" i="24"/>
  <c r="Z27" i="24"/>
  <c r="Z26" i="24"/>
  <c r="Z25" i="24"/>
  <c r="Z24" i="24"/>
  <c r="Z23" i="24"/>
  <c r="Z22" i="24"/>
  <c r="Z21" i="24"/>
  <c r="Z20" i="24"/>
  <c r="Z19" i="24"/>
  <c r="Z18" i="24"/>
  <c r="Z17" i="24"/>
  <c r="Z16" i="24"/>
  <c r="Z15" i="24"/>
  <c r="Z14" i="24"/>
  <c r="Z13" i="24"/>
  <c r="Z12" i="24"/>
  <c r="Z11" i="24"/>
  <c r="Z10" i="24"/>
  <c r="Z9" i="24"/>
  <c r="Z8" i="24"/>
  <c r="Z7" i="24"/>
  <c r="Z6" i="24"/>
  <c r="Z5" i="24"/>
  <c r="Z35" i="24" s="1"/>
  <c r="E26" i="23"/>
  <c r="D26" i="23"/>
  <c r="C26" i="23"/>
  <c r="F26" i="23" s="1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3" i="23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Z34" i="21" s="1"/>
  <c r="C34" i="21"/>
  <c r="Z33" i="21"/>
  <c r="Z32" i="21"/>
  <c r="Z31" i="21"/>
  <c r="Z30" i="21"/>
  <c r="Z29" i="21"/>
  <c r="Z28" i="21"/>
  <c r="Z27" i="21"/>
  <c r="Z26" i="21"/>
  <c r="Z25" i="21"/>
  <c r="Z24" i="21"/>
  <c r="Z23" i="21"/>
  <c r="Z22" i="21"/>
  <c r="Z21" i="21"/>
  <c r="Z20" i="21"/>
  <c r="Z19" i="21"/>
  <c r="Z18" i="21"/>
  <c r="Z17" i="21"/>
  <c r="Z16" i="21"/>
  <c r="Z15" i="21"/>
  <c r="Z14" i="21"/>
  <c r="Z13" i="21"/>
  <c r="Z12" i="21"/>
  <c r="Z11" i="21"/>
  <c r="Z10" i="21"/>
  <c r="Z9" i="21"/>
  <c r="Z8" i="21"/>
  <c r="Z7" i="21"/>
  <c r="Z6" i="21"/>
  <c r="Z5" i="21"/>
  <c r="Z4" i="21"/>
  <c r="F26" i="20"/>
  <c r="E26" i="20"/>
  <c r="D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3" i="20"/>
  <c r="G26" i="20" s="1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Z34" i="15" s="1"/>
  <c r="C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Z7" i="15"/>
  <c r="Z6" i="15"/>
  <c r="Z5" i="15"/>
  <c r="E27" i="14"/>
  <c r="D27" i="14"/>
  <c r="C27" i="14"/>
  <c r="F27" i="14" s="1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34" i="12" s="1"/>
  <c r="E27" i="11"/>
  <c r="D27" i="11"/>
  <c r="C27" i="11"/>
  <c r="F27" i="11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AA13" i="8"/>
  <c r="AA12" i="8"/>
  <c r="AA11" i="8"/>
  <c r="AA10" i="8"/>
  <c r="AA9" i="8"/>
  <c r="AA8" i="8"/>
  <c r="AA7" i="8"/>
  <c r="AA6" i="8"/>
  <c r="AA5" i="8"/>
  <c r="AA14" i="8" s="1"/>
  <c r="Z6" i="6"/>
  <c r="Z5" i="6"/>
  <c r="Z4" i="6"/>
  <c r="I27" i="5"/>
  <c r="H27" i="5"/>
  <c r="G27" i="5"/>
  <c r="F27" i="5"/>
  <c r="E27" i="5"/>
  <c r="D27" i="5"/>
  <c r="C27" i="5"/>
  <c r="I26" i="5"/>
  <c r="G26" i="5"/>
  <c r="E26" i="5"/>
  <c r="I25" i="5"/>
  <c r="G25" i="5"/>
  <c r="E25" i="5"/>
  <c r="I24" i="5"/>
  <c r="G24" i="5"/>
  <c r="E24" i="5"/>
  <c r="I23" i="5"/>
  <c r="G23" i="5"/>
  <c r="E23" i="5"/>
  <c r="I22" i="5"/>
  <c r="G22" i="5"/>
  <c r="E22" i="5"/>
  <c r="I21" i="5"/>
  <c r="G21" i="5"/>
  <c r="E21" i="5"/>
  <c r="I20" i="5"/>
  <c r="G20" i="5"/>
  <c r="E20" i="5"/>
  <c r="I19" i="5"/>
  <c r="G19" i="5"/>
  <c r="E19" i="5"/>
  <c r="I18" i="5"/>
  <c r="G18" i="5"/>
  <c r="E18" i="5"/>
  <c r="I17" i="5"/>
  <c r="G17" i="5"/>
  <c r="E17" i="5"/>
  <c r="I16" i="5"/>
  <c r="G16" i="5"/>
  <c r="E16" i="5"/>
  <c r="I15" i="5"/>
  <c r="G15" i="5"/>
  <c r="E15" i="5"/>
  <c r="I14" i="5"/>
  <c r="G14" i="5"/>
  <c r="E14" i="5"/>
  <c r="I13" i="5"/>
  <c r="G13" i="5"/>
  <c r="E13" i="5"/>
  <c r="I12" i="5"/>
  <c r="G12" i="5"/>
  <c r="E12" i="5"/>
  <c r="I11" i="5"/>
  <c r="G11" i="5"/>
  <c r="E11" i="5"/>
  <c r="I10" i="5"/>
  <c r="G10" i="5"/>
  <c r="E10" i="5"/>
  <c r="I9" i="5"/>
  <c r="G9" i="5"/>
  <c r="E9" i="5"/>
  <c r="I8" i="5"/>
  <c r="G8" i="5"/>
  <c r="E8" i="5"/>
  <c r="I7" i="5"/>
  <c r="G7" i="5"/>
  <c r="E7" i="5"/>
  <c r="I6" i="5"/>
  <c r="G6" i="5"/>
  <c r="E6" i="5"/>
  <c r="I5" i="5"/>
  <c r="G5" i="5"/>
  <c r="E5" i="5"/>
  <c r="I4" i="5"/>
  <c r="G4" i="5"/>
  <c r="E4" i="5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D33" i="3"/>
  <c r="C33" i="3"/>
  <c r="V34" i="4" l="1"/>
  <c r="H34" i="4"/>
  <c r="J34" i="4"/>
  <c r="F34" i="4"/>
  <c r="N34" i="4"/>
  <c r="O34" i="4"/>
  <c r="I34" i="4"/>
  <c r="S34" i="4"/>
  <c r="E34" i="4"/>
  <c r="D34" i="4"/>
  <c r="P34" i="4"/>
  <c r="K34" i="4"/>
  <c r="C34" i="4"/>
  <c r="Y34" i="4"/>
  <c r="G34" i="4"/>
  <c r="W34" i="4"/>
  <c r="U34" i="4"/>
  <c r="X34" i="4"/>
  <c r="Q34" i="4"/>
  <c r="M34" i="4"/>
  <c r="R34" i="4"/>
  <c r="T34" i="4"/>
  <c r="L34" i="4"/>
</calcChain>
</file>

<file path=xl/sharedStrings.xml><?xml version="1.0" encoding="utf-8"?>
<sst xmlns="http://schemas.openxmlformats.org/spreadsheetml/2006/main" count="2755" uniqueCount="90">
  <si>
    <t>SECTOR</t>
  </si>
  <si>
    <t>AUDITORÍAS</t>
  </si>
  <si>
    <t>PORCENTAJE</t>
  </si>
  <si>
    <t>PORCENTAJE ACUMULADO</t>
  </si>
  <si>
    <t>ENTIDADES FEDERATIVAS Y MUNICIPIOS</t>
  </si>
  <si>
    <t>HACIENDA Y CRÉDITO PÚBLICO</t>
  </si>
  <si>
    <t>EMPRESAS PRODUCTIVAS DEL ESTADO</t>
  </si>
  <si>
    <t>INSTITUCIONES PÚBLICAS DE EDUCACIÓN SUPERIOR</t>
  </si>
  <si>
    <t>INFRAESTRUCTURA, COMUNICACIONES Y TRANSPORTES</t>
  </si>
  <si>
    <t>ÓRGANOS DESCENTRALIZADOS NO SECTORIZADOS</t>
  </si>
  <si>
    <t>EDUCACIÓN PÚBLICA</t>
  </si>
  <si>
    <t>SALUD</t>
  </si>
  <si>
    <t>MEDIO AMBIENTE Y RECURSOS NATURALES</t>
  </si>
  <si>
    <t>AGRICULTURA Y DESARROLLO RURAL</t>
  </si>
  <si>
    <t>MARINA</t>
  </si>
  <si>
    <t>BIENESTAR</t>
  </si>
  <si>
    <t>ENERGÍA</t>
  </si>
  <si>
    <t>ÓRGANOS AUTÓNOMOS</t>
  </si>
  <si>
    <t>ECONOMÍA</t>
  </si>
  <si>
    <t>SEGURIDAD Y PROTECCIÓN CIUDADANA</t>
  </si>
  <si>
    <t>TURISMO</t>
  </si>
  <si>
    <t>DEFENSA NACIONAL</t>
  </si>
  <si>
    <t>GOBERNACIÓN</t>
  </si>
  <si>
    <t>DESARROLLO AGRARIO, TERRITORIAL Y URBANO</t>
  </si>
  <si>
    <t>CULTURA</t>
  </si>
  <si>
    <t>CIENCIA, HUMANIDADES, TECNOLOGÍA E INNOVACIÓN</t>
  </si>
  <si>
    <t>PODER JUDICIAL</t>
  </si>
  <si>
    <t>TRABAJO Y PREVISIÓN SOCIAL</t>
  </si>
  <si>
    <t>ANTICORRUPCIÓN Y BUEN GOBIERNO</t>
  </si>
  <si>
    <t>RELACIONES EXTERIORES</t>
  </si>
  <si>
    <t>FISCALÍA GENERAL DE LA REPÚBLICA</t>
  </si>
  <si>
    <t>PODER LEGISLATIVO</t>
  </si>
  <si>
    <t>PRESIDENCIA DE LA REPÚBLICA</t>
  </si>
  <si>
    <t>ENTIDADES NO SECTORIZADAS</t>
  </si>
  <si>
    <t>Total</t>
  </si>
  <si>
    <t>CUENTA PÚBLICA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</si>
  <si>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</si>
  <si>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</si>
  <si>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</si>
  <si>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</si>
  <si>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</si>
  <si>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</si>
  <si>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</si>
  <si>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</si>
  <si>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</si>
  <si>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</si>
  <si>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</si>
  <si>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</si>
  <si>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</si>
  <si>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</si>
  <si>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</si>
  <si>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</si>
  <si>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</si>
  <si>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</si>
  <si>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</si>
  <si>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</si>
  <si>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</si>
  <si>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</si>
  <si>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</si>
  <si>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-</t>
  </si>
  <si>
    <t>Cuenta Pública</t>
  </si>
  <si>
    <t>Auditorías</t>
  </si>
  <si>
    <t>Observaciones</t>
  </si>
  <si>
    <t>Observaciones por Auditoría</t>
  </si>
  <si>
    <t>Recomendaciones</t>
  </si>
  <si>
    <t>Recomendaciones por Auditoría</t>
  </si>
  <si>
    <t>Acciones</t>
  </si>
  <si>
    <t>Acciones 
por Auditorías</t>
  </si>
  <si>
    <t>TIPO DE ACCIÓN</t>
  </si>
  <si>
    <t>R</t>
  </si>
  <si>
    <t>PRAS</t>
  </si>
  <si>
    <t>PO</t>
  </si>
  <si>
    <t>RD</t>
  </si>
  <si>
    <t>SA</t>
  </si>
  <si>
    <t>FRR</t>
  </si>
  <si>
    <t>PEFCF</t>
  </si>
  <si>
    <t>DH</t>
  </si>
  <si>
    <t>PIIC</t>
  </si>
  <si>
    <t>En proceso 
de Notificación</t>
  </si>
  <si>
    <t>En Seguimiento</t>
  </si>
  <si>
    <t>Concluidas</t>
  </si>
  <si>
    <t>APORTACIONES A SEGURIDAD SOCIAL</t>
  </si>
  <si>
    <t>FUNCIÓN PÚBLICA</t>
  </si>
  <si>
    <t>COMISIÓN REGULADORA DE ENERGÍA</t>
  </si>
  <si>
    <t>CONSEJO NACIONAL DE CIENCIA Y TECNOLOGÍA</t>
  </si>
  <si>
    <t>ENTIDADES NO COORDINADAS SECTORIALMENTE</t>
  </si>
  <si>
    <t>Sector</t>
  </si>
  <si>
    <t>Subtotal</t>
  </si>
  <si>
    <t xml:space="preserve">ENTIDADES NO COORDINADAS </t>
  </si>
  <si>
    <t>SIMULACIÓN DE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</si>
</sst>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9"/>
      <name val="Arial"/>
      <family val="2"/>
    </font>
    <font>
      <b/>
      <sz val="9"/>
      <color rgb="FF9C5700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rgb="FF9C5700"/>
      <name val="Aptos Narrow"/>
      <family val="2"/>
      <scheme val="minor"/>
    </font>
    <font>
      <sz val="8"/>
      <name val="Arial"/>
      <family val="2"/>
    </font>
    <font>
      <b/>
      <sz val="9"/>
      <color theme="0"/>
      <name val="Aptos Narrow"/>
      <family val="2"/>
      <scheme val="minor"/>
    </font>
    <font>
      <b/>
      <sz val="5"/>
      <color theme="0"/>
      <name val="Aptos Narrow"/>
      <family val="2"/>
      <scheme val="minor"/>
    </font>
    <font>
      <sz val="5"/>
      <name val="Arial"/>
      <family val="2"/>
    </font>
    <font>
      <b/>
      <sz val="6"/>
      <color theme="0"/>
      <name val="Aptos Narrow"/>
      <family val="2"/>
      <scheme val="minor"/>
    </font>
    <font>
      <sz val="6"/>
      <name val="Aptos Narrow"/>
      <family val="2"/>
      <scheme val="minor"/>
    </font>
    <font>
      <sz val="5"/>
      <color theme="1"/>
      <name val="Arial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0">
    <xf numFmtId="0" fontId="0" fillId="0" borderId="0" xfId="0"/>
    <xf numFmtId="0" fontId="3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4" xfId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 indent="2"/>
    </xf>
    <xf numFmtId="10" fontId="4" fillId="0" borderId="5" xfId="0" applyNumberFormat="1" applyFont="1" applyBorder="1" applyAlignment="1">
      <alignment horizontal="right" vertical="center" wrapText="1" indent="2"/>
    </xf>
    <xf numFmtId="10" fontId="4" fillId="0" borderId="6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3" fontId="4" fillId="3" borderId="8" xfId="0" applyNumberFormat="1" applyFont="1" applyFill="1" applyBorder="1" applyAlignment="1">
      <alignment horizontal="right" vertical="center" wrapText="1" indent="2"/>
    </xf>
    <xf numFmtId="10" fontId="4" fillId="3" borderId="8" xfId="0" applyNumberFormat="1" applyFont="1" applyFill="1" applyBorder="1" applyAlignment="1">
      <alignment horizontal="right" vertical="center" wrapText="1" indent="2"/>
    </xf>
    <xf numFmtId="10" fontId="4" fillId="3" borderId="6" xfId="0" applyNumberFormat="1" applyFont="1" applyFill="1" applyBorder="1" applyAlignment="1">
      <alignment horizontal="center" vertical="center" wrapText="1"/>
    </xf>
    <xf numFmtId="0" fontId="3" fillId="2" borderId="5" xfId="1" applyFont="1" applyBorder="1" applyAlignment="1">
      <alignment horizontal="left" vertical="center" wrapText="1"/>
    </xf>
    <xf numFmtId="0" fontId="5" fillId="2" borderId="11" xfId="1" applyFont="1" applyBorder="1" applyAlignment="1">
      <alignment horizontal="center" vertical="center"/>
    </xf>
    <xf numFmtId="0" fontId="5" fillId="2" borderId="12" xfId="1" applyFont="1" applyBorder="1" applyAlignment="1">
      <alignment horizontal="center"/>
    </xf>
    <xf numFmtId="0" fontId="5" fillId="2" borderId="13" xfId="1" applyFont="1" applyBorder="1" applyAlignment="1">
      <alignment horizontal="center"/>
    </xf>
    <xf numFmtId="0" fontId="5" fillId="2" borderId="14" xfId="1" applyFont="1" applyBorder="1" applyAlignment="1">
      <alignment horizontal="center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/>
    </xf>
    <xf numFmtId="0" fontId="5" fillId="2" borderId="0" xfId="1" applyFont="1" applyBorder="1" applyAlignment="1">
      <alignment horizontal="center"/>
    </xf>
    <xf numFmtId="0" fontId="5" fillId="2" borderId="18" xfId="1" applyFont="1" applyBorder="1" applyAlignment="1">
      <alignment horizontal="center"/>
    </xf>
    <xf numFmtId="0" fontId="5" fillId="2" borderId="19" xfId="1" applyFont="1" applyBorder="1" applyAlignment="1">
      <alignment horizontal="center" vertical="center"/>
    </xf>
    <xf numFmtId="0" fontId="5" fillId="2" borderId="16" xfId="1" applyFont="1" applyBorder="1"/>
    <xf numFmtId="3" fontId="6" fillId="0" borderId="0" xfId="0" applyNumberFormat="1" applyFont="1" applyAlignment="1">
      <alignment vertical="center"/>
    </xf>
    <xf numFmtId="3" fontId="5" fillId="2" borderId="20" xfId="1" applyNumberFormat="1" applyFont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5" fillId="2" borderId="21" xfId="1" applyFont="1" applyBorder="1"/>
    <xf numFmtId="0" fontId="5" fillId="2" borderId="22" xfId="1" applyFont="1" applyBorder="1"/>
    <xf numFmtId="3" fontId="5" fillId="2" borderId="23" xfId="1" applyNumberFormat="1" applyFont="1" applyBorder="1" applyAlignment="1">
      <alignment vertical="center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 wrapText="1" indent="1"/>
    </xf>
    <xf numFmtId="3" fontId="6" fillId="0" borderId="5" xfId="0" applyNumberFormat="1" applyFont="1" applyBorder="1" applyAlignment="1">
      <alignment horizontal="right" vertical="center" wrapText="1" indent="2"/>
    </xf>
    <xf numFmtId="3" fontId="6" fillId="0" borderId="5" xfId="0" applyNumberFormat="1" applyFont="1" applyBorder="1" applyAlignment="1">
      <alignment horizontal="right" vertical="center" wrapText="1" indent="3"/>
    </xf>
    <xf numFmtId="3" fontId="7" fillId="0" borderId="4" xfId="0" applyNumberFormat="1" applyFont="1" applyBorder="1" applyAlignment="1">
      <alignment horizontal="right" vertical="center" wrapText="1" indent="3"/>
    </xf>
    <xf numFmtId="3" fontId="6" fillId="0" borderId="5" xfId="0" applyNumberFormat="1" applyFont="1" applyBorder="1" applyAlignment="1">
      <alignment horizontal="right" vertical="center" wrapText="1" indent="4"/>
    </xf>
    <xf numFmtId="3" fontId="7" fillId="0" borderId="4" xfId="0" applyNumberFormat="1" applyFont="1" applyBorder="1" applyAlignment="1">
      <alignment horizontal="right" vertical="center" wrapText="1" indent="1"/>
    </xf>
    <xf numFmtId="3" fontId="6" fillId="0" borderId="6" xfId="0" applyNumberFormat="1" applyFont="1" applyBorder="1" applyAlignment="1">
      <alignment horizontal="right" vertical="center" wrapText="1" indent="3"/>
    </xf>
    <xf numFmtId="3" fontId="7" fillId="0" borderId="5" xfId="0" applyNumberFormat="1" applyFont="1" applyBorder="1" applyAlignment="1">
      <alignment horizontal="right" vertical="center" wrapText="1" indent="3"/>
    </xf>
    <xf numFmtId="3" fontId="7" fillId="0" borderId="5" xfId="0" applyNumberFormat="1" applyFont="1" applyBorder="1" applyAlignment="1">
      <alignment horizontal="right" vertical="center" wrapText="1" indent="1"/>
    </xf>
    <xf numFmtId="3" fontId="7" fillId="0" borderId="6" xfId="0" applyNumberFormat="1" applyFont="1" applyBorder="1" applyAlignment="1">
      <alignment horizontal="right" vertical="center" wrapText="1" indent="3"/>
    </xf>
    <xf numFmtId="3" fontId="7" fillId="0" borderId="6" xfId="0" applyNumberFormat="1" applyFont="1" applyBorder="1" applyAlignment="1">
      <alignment horizontal="right" vertical="center" wrapText="1" indent="1"/>
    </xf>
    <xf numFmtId="3" fontId="6" fillId="0" borderId="4" xfId="0" applyNumberFormat="1" applyFont="1" applyBorder="1" applyAlignment="1">
      <alignment horizontal="right" vertical="center" wrapText="1" indent="1"/>
    </xf>
    <xf numFmtId="3" fontId="3" fillId="2" borderId="7" xfId="1" applyNumberFormat="1" applyFont="1" applyBorder="1" applyAlignment="1">
      <alignment horizontal="center" vertical="center" wrapText="1"/>
    </xf>
    <xf numFmtId="3" fontId="3" fillId="2" borderId="8" xfId="1" applyNumberFormat="1" applyFont="1" applyBorder="1" applyAlignment="1">
      <alignment horizontal="right" vertical="center" wrapText="1" indent="1"/>
    </xf>
    <xf numFmtId="3" fontId="3" fillId="2" borderId="8" xfId="1" applyNumberFormat="1" applyFont="1" applyBorder="1" applyAlignment="1">
      <alignment horizontal="right" vertical="center" wrapText="1" indent="2"/>
    </xf>
    <xf numFmtId="164" fontId="3" fillId="2" borderId="8" xfId="1" applyNumberFormat="1" applyFont="1" applyBorder="1" applyAlignment="1">
      <alignment horizontal="right" vertical="center" wrapText="1" indent="3"/>
    </xf>
    <xf numFmtId="3" fontId="3" fillId="2" borderId="8" xfId="1" applyNumberFormat="1" applyFont="1" applyBorder="1" applyAlignment="1">
      <alignment horizontal="right" vertical="center" wrapText="1" indent="3"/>
    </xf>
    <xf numFmtId="164" fontId="3" fillId="2" borderId="8" xfId="1" applyNumberFormat="1" applyFont="1" applyBorder="1" applyAlignment="1">
      <alignment horizontal="right" vertical="center" wrapText="1" indent="4"/>
    </xf>
    <xf numFmtId="164" fontId="3" fillId="2" borderId="9" xfId="1" applyNumberFormat="1" applyFont="1" applyBorder="1" applyAlignment="1">
      <alignment horizontal="right" vertical="center" wrapText="1" indent="3"/>
    </xf>
    <xf numFmtId="0" fontId="3" fillId="2" borderId="5" xfId="1" applyFont="1" applyBorder="1" applyAlignment="1">
      <alignment horizontal="center" vertical="center"/>
    </xf>
    <xf numFmtId="0" fontId="3" fillId="2" borderId="9" xfId="1" applyFont="1" applyBorder="1" applyAlignment="1">
      <alignment horizontal="center"/>
    </xf>
    <xf numFmtId="0" fontId="3" fillId="2" borderId="10" xfId="1" applyFont="1" applyBorder="1" applyAlignment="1">
      <alignment horizontal="center"/>
    </xf>
    <xf numFmtId="0" fontId="3" fillId="2" borderId="10" xfId="1" applyFont="1" applyBorder="1" applyAlignment="1">
      <alignment horizontal="center" vertical="center" wrapText="1"/>
    </xf>
    <xf numFmtId="0" fontId="3" fillId="2" borderId="1" xfId="1" applyFont="1" applyBorder="1" applyAlignment="1">
      <alignment vertical="center" wrapText="1"/>
    </xf>
    <xf numFmtId="0" fontId="3" fillId="2" borderId="2" xfId="1" applyFont="1" applyBorder="1" applyAlignment="1">
      <alignment vertical="center" wrapText="1"/>
    </xf>
    <xf numFmtId="0" fontId="3" fillId="2" borderId="3" xfId="1" applyFont="1" applyBorder="1" applyAlignment="1">
      <alignment vertical="center" wrapText="1"/>
    </xf>
    <xf numFmtId="0" fontId="3" fillId="2" borderId="24" xfId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3" fontId="3" fillId="2" borderId="4" xfId="1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8" fillId="2" borderId="25" xfId="1" applyFont="1" applyBorder="1" applyAlignment="1">
      <alignment horizontal="center" vertical="center"/>
    </xf>
    <xf numFmtId="0" fontId="8" fillId="2" borderId="26" xfId="1" applyFont="1" applyBorder="1" applyAlignment="1">
      <alignment horizontal="center"/>
    </xf>
    <xf numFmtId="0" fontId="8" fillId="2" borderId="27" xfId="1" applyFont="1" applyBorder="1" applyAlignment="1">
      <alignment horizontal="center"/>
    </xf>
    <xf numFmtId="0" fontId="8" fillId="2" borderId="28" xfId="1" applyFont="1" applyBorder="1" applyAlignment="1">
      <alignment horizontal="center"/>
    </xf>
    <xf numFmtId="0" fontId="8" fillId="2" borderId="25" xfId="1" applyFont="1" applyBorder="1" applyAlignment="1">
      <alignment horizontal="center" vertical="center" wrapText="1"/>
    </xf>
    <xf numFmtId="0" fontId="8" fillId="2" borderId="25" xfId="1" applyFont="1" applyBorder="1" applyAlignment="1">
      <alignment horizontal="center" vertical="center" wrapText="1"/>
    </xf>
    <xf numFmtId="0" fontId="8" fillId="2" borderId="29" xfId="1" applyFont="1" applyBorder="1" applyAlignment="1">
      <alignment horizontal="center" vertical="center" wrapText="1"/>
    </xf>
    <xf numFmtId="0" fontId="8" fillId="2" borderId="25" xfId="1" applyFont="1" applyBorder="1" applyAlignment="1">
      <alignment horizontal="left" vertical="center" wrapText="1"/>
    </xf>
    <xf numFmtId="3" fontId="9" fillId="0" borderId="25" xfId="0" applyNumberFormat="1" applyFont="1" applyBorder="1" applyAlignment="1">
      <alignment horizontal="right" vertical="center" wrapText="1"/>
    </xf>
    <xf numFmtId="3" fontId="9" fillId="0" borderId="30" xfId="0" applyNumberFormat="1" applyFont="1" applyBorder="1" applyAlignment="1">
      <alignment horizontal="right" vertical="center" wrapText="1"/>
    </xf>
    <xf numFmtId="3" fontId="8" fillId="2" borderId="25" xfId="1" applyNumberFormat="1" applyFont="1" applyBorder="1" applyAlignment="1">
      <alignment horizontal="right" vertical="center" wrapText="1"/>
    </xf>
    <xf numFmtId="3" fontId="9" fillId="4" borderId="25" xfId="0" applyNumberFormat="1" applyFont="1" applyFill="1" applyBorder="1" applyAlignment="1">
      <alignment horizontal="right" vertical="center" wrapText="1"/>
    </xf>
    <xf numFmtId="3" fontId="9" fillId="0" borderId="28" xfId="0" applyNumberFormat="1" applyFont="1" applyBorder="1" applyAlignment="1">
      <alignment horizontal="right" vertical="center" wrapText="1"/>
    </xf>
    <xf numFmtId="3" fontId="9" fillId="4" borderId="26" xfId="0" applyNumberFormat="1" applyFont="1" applyFill="1" applyBorder="1" applyAlignment="1">
      <alignment horizontal="right" vertical="center" wrapText="1"/>
    </xf>
    <xf numFmtId="3" fontId="9" fillId="4" borderId="31" xfId="0" applyNumberFormat="1" applyFont="1" applyFill="1" applyBorder="1" applyAlignment="1">
      <alignment horizontal="right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right" vertical="center" wrapText="1" indent="3"/>
    </xf>
    <xf numFmtId="3" fontId="6" fillId="6" borderId="5" xfId="0" applyNumberFormat="1" applyFont="1" applyFill="1" applyBorder="1" applyAlignment="1">
      <alignment horizontal="right" vertical="center" wrapText="1" indent="1"/>
    </xf>
    <xf numFmtId="3" fontId="2" fillId="5" borderId="6" xfId="1" applyNumberFormat="1" applyFont="1" applyFill="1" applyBorder="1" applyAlignment="1">
      <alignment horizontal="right" vertical="center" wrapText="1" indent="1"/>
    </xf>
    <xf numFmtId="3" fontId="6" fillId="7" borderId="5" xfId="0" applyNumberFormat="1" applyFont="1" applyFill="1" applyBorder="1" applyAlignment="1">
      <alignment horizontal="right" vertical="center" wrapText="1" indent="3"/>
    </xf>
    <xf numFmtId="3" fontId="6" fillId="7" borderId="5" xfId="0" applyNumberFormat="1" applyFont="1" applyFill="1" applyBorder="1" applyAlignment="1">
      <alignment horizontal="right" vertical="center" wrapText="1" indent="1"/>
    </xf>
    <xf numFmtId="0" fontId="2" fillId="5" borderId="7" xfId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right" vertical="center" wrapText="1" indent="3"/>
    </xf>
    <xf numFmtId="3" fontId="2" fillId="5" borderId="8" xfId="1" applyNumberFormat="1" applyFont="1" applyFill="1" applyBorder="1" applyAlignment="1">
      <alignment horizontal="right" vertical="center" wrapText="1" indent="1"/>
    </xf>
    <xf numFmtId="0" fontId="10" fillId="5" borderId="25" xfId="1" applyFont="1" applyFill="1" applyBorder="1" applyAlignment="1">
      <alignment horizontal="center" vertical="center"/>
    </xf>
    <xf numFmtId="0" fontId="10" fillId="5" borderId="26" xfId="1" applyFont="1" applyFill="1" applyBorder="1" applyAlignment="1">
      <alignment horizontal="center"/>
    </xf>
    <xf numFmtId="0" fontId="10" fillId="5" borderId="27" xfId="1" applyFont="1" applyFill="1" applyBorder="1" applyAlignment="1">
      <alignment horizontal="center"/>
    </xf>
    <xf numFmtId="0" fontId="10" fillId="5" borderId="28" xfId="1" applyFont="1" applyFill="1" applyBorder="1" applyAlignment="1">
      <alignment horizontal="center"/>
    </xf>
    <xf numFmtId="0" fontId="10" fillId="5" borderId="25" xfId="1" applyFont="1" applyFill="1" applyBorder="1" applyAlignment="1">
      <alignment horizontal="center" vertical="center" wrapText="1"/>
    </xf>
    <xf numFmtId="0" fontId="10" fillId="5" borderId="32" xfId="1" applyFont="1" applyFill="1" applyBorder="1" applyAlignment="1">
      <alignment horizontal="center" vertical="center" wrapText="1"/>
    </xf>
    <xf numFmtId="0" fontId="10" fillId="5" borderId="30" xfId="1" applyFont="1" applyFill="1" applyBorder="1" applyAlignment="1">
      <alignment horizontal="center" vertical="center" wrapText="1"/>
    </xf>
    <xf numFmtId="0" fontId="10" fillId="5" borderId="33" xfId="1" applyFont="1" applyFill="1" applyBorder="1" applyAlignment="1">
      <alignment horizontal="center" vertical="center" wrapText="1"/>
    </xf>
    <xf numFmtId="0" fontId="10" fillId="5" borderId="25" xfId="1" applyFont="1" applyFill="1" applyBorder="1" applyAlignment="1">
      <alignment horizontal="left" vertical="center" wrapText="1"/>
    </xf>
    <xf numFmtId="3" fontId="6" fillId="6" borderId="28" xfId="0" applyNumberFormat="1" applyFont="1" applyFill="1" applyBorder="1" applyAlignment="1">
      <alignment horizontal="center" vertical="center" wrapText="1"/>
    </xf>
    <xf numFmtId="3" fontId="6" fillId="6" borderId="25" xfId="0" applyNumberFormat="1" applyFont="1" applyFill="1" applyBorder="1" applyAlignment="1">
      <alignment horizontal="center" vertical="center" wrapText="1"/>
    </xf>
    <xf numFmtId="3" fontId="6" fillId="6" borderId="26" xfId="0" applyNumberFormat="1" applyFont="1" applyFill="1" applyBorder="1" applyAlignment="1">
      <alignment horizontal="center" vertical="center" wrapText="1"/>
    </xf>
    <xf numFmtId="3" fontId="6" fillId="6" borderId="30" xfId="0" applyNumberFormat="1" applyFont="1" applyFill="1" applyBorder="1" applyAlignment="1">
      <alignment horizontal="center" vertical="center" wrapText="1"/>
    </xf>
    <xf numFmtId="3" fontId="10" fillId="5" borderId="25" xfId="1" applyNumberFormat="1" applyFont="1" applyFill="1" applyBorder="1" applyAlignment="1">
      <alignment horizontal="right" vertical="center" wrapText="1"/>
    </xf>
    <xf numFmtId="3" fontId="6" fillId="7" borderId="28" xfId="0" applyNumberFormat="1" applyFont="1" applyFill="1" applyBorder="1" applyAlignment="1">
      <alignment horizontal="center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3" fontId="6" fillId="7" borderId="26" xfId="0" applyNumberFormat="1" applyFont="1" applyFill="1" applyBorder="1" applyAlignment="1">
      <alignment horizontal="center" vertical="center" wrapText="1"/>
    </xf>
    <xf numFmtId="3" fontId="10" fillId="5" borderId="34" xfId="1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right" vertical="center" wrapText="1" indent="2"/>
    </xf>
    <xf numFmtId="3" fontId="2" fillId="5" borderId="6" xfId="1" applyNumberFormat="1" applyFont="1" applyFill="1" applyBorder="1" applyAlignment="1">
      <alignment horizontal="right" vertical="center" wrapText="1" indent="2"/>
    </xf>
    <xf numFmtId="3" fontId="6" fillId="7" borderId="5" xfId="0" applyNumberFormat="1" applyFont="1" applyFill="1" applyBorder="1" applyAlignment="1">
      <alignment horizontal="right" vertical="center" wrapText="1" indent="2"/>
    </xf>
    <xf numFmtId="3" fontId="6" fillId="6" borderId="6" xfId="0" applyNumberFormat="1" applyFont="1" applyFill="1" applyBorder="1" applyAlignment="1">
      <alignment horizontal="right" vertical="center" wrapText="1" indent="2"/>
    </xf>
    <xf numFmtId="3" fontId="6" fillId="7" borderId="6" xfId="0" applyNumberFormat="1" applyFont="1" applyFill="1" applyBorder="1" applyAlignment="1">
      <alignment horizontal="right" vertical="center" wrapText="1" indent="2"/>
    </xf>
    <xf numFmtId="3" fontId="2" fillId="5" borderId="8" xfId="1" applyNumberFormat="1" applyFont="1" applyFill="1" applyBorder="1" applyAlignment="1">
      <alignment horizontal="right" vertical="center" wrapText="1" indent="2"/>
    </xf>
    <xf numFmtId="0" fontId="11" fillId="5" borderId="25" xfId="1" applyFont="1" applyFill="1" applyBorder="1" applyAlignment="1">
      <alignment horizontal="center" vertical="center"/>
    </xf>
    <xf numFmtId="0" fontId="11" fillId="5" borderId="26" xfId="1" applyFont="1" applyFill="1" applyBorder="1" applyAlignment="1">
      <alignment horizontal="center" vertical="center"/>
    </xf>
    <xf numFmtId="0" fontId="11" fillId="5" borderId="27" xfId="1" applyFont="1" applyFill="1" applyBorder="1" applyAlignment="1">
      <alignment horizontal="center" vertical="center"/>
    </xf>
    <xf numFmtId="0" fontId="11" fillId="5" borderId="28" xfId="1" applyFont="1" applyFill="1" applyBorder="1" applyAlignment="1">
      <alignment horizontal="center" vertical="center"/>
    </xf>
    <xf numFmtId="0" fontId="11" fillId="5" borderId="25" xfId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center" vertical="center" wrapText="1"/>
    </xf>
    <xf numFmtId="0" fontId="11" fillId="5" borderId="29" xfId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left" vertical="center" wrapText="1"/>
    </xf>
    <xf numFmtId="3" fontId="12" fillId="6" borderId="25" xfId="0" applyNumberFormat="1" applyFont="1" applyFill="1" applyBorder="1" applyAlignment="1">
      <alignment horizontal="center" vertical="center" wrapText="1"/>
    </xf>
    <xf numFmtId="3" fontId="12" fillId="6" borderId="30" xfId="0" applyNumberFormat="1" applyFont="1" applyFill="1" applyBorder="1" applyAlignment="1">
      <alignment horizontal="center" vertical="center" wrapText="1"/>
    </xf>
    <xf numFmtId="3" fontId="11" fillId="5" borderId="25" xfId="1" applyNumberFormat="1" applyFont="1" applyFill="1" applyBorder="1" applyAlignment="1">
      <alignment horizontal="right" vertical="center" wrapText="1"/>
    </xf>
    <xf numFmtId="3" fontId="12" fillId="7" borderId="25" xfId="0" applyNumberFormat="1" applyFont="1" applyFill="1" applyBorder="1" applyAlignment="1">
      <alignment horizontal="center" vertical="center" wrapText="1"/>
    </xf>
    <xf numFmtId="3" fontId="12" fillId="7" borderId="28" xfId="0" applyNumberFormat="1" applyFont="1" applyFill="1" applyBorder="1" applyAlignment="1">
      <alignment horizontal="center" vertical="center" wrapText="1"/>
    </xf>
    <xf numFmtId="3" fontId="12" fillId="7" borderId="26" xfId="0" applyNumberFormat="1" applyFont="1" applyFill="1" applyBorder="1" applyAlignment="1">
      <alignment horizontal="center" vertical="center" wrapText="1"/>
    </xf>
    <xf numFmtId="3" fontId="12" fillId="6" borderId="28" xfId="0" applyNumberFormat="1" applyFont="1" applyFill="1" applyBorder="1" applyAlignment="1">
      <alignment horizontal="center" vertical="center" wrapText="1"/>
    </xf>
    <xf numFmtId="3" fontId="12" fillId="6" borderId="26" xfId="0" applyNumberFormat="1" applyFont="1" applyFill="1" applyBorder="1" applyAlignment="1">
      <alignment horizontal="center" vertical="center" wrapText="1"/>
    </xf>
    <xf numFmtId="3" fontId="11" fillId="5" borderId="25" xfId="1" applyNumberFormat="1" applyFont="1" applyFill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3" fillId="2" borderId="6" xfId="1" applyNumberFormat="1" applyFont="1" applyBorder="1" applyAlignment="1">
      <alignment horizontal="right" vertical="center" wrapText="1" indent="2"/>
    </xf>
    <xf numFmtId="0" fontId="3" fillId="2" borderId="7" xfId="1" applyFont="1" applyBorder="1" applyAlignment="1">
      <alignment horizontal="center" vertical="center" wrapText="1"/>
    </xf>
    <xf numFmtId="3" fontId="3" fillId="2" borderId="8" xfId="1" applyNumberFormat="1" applyFont="1" applyBorder="1" applyAlignment="1">
      <alignment horizontal="center" vertical="center" wrapText="1"/>
    </xf>
    <xf numFmtId="3" fontId="3" fillId="2" borderId="9" xfId="1" applyNumberFormat="1" applyFont="1" applyBorder="1" applyAlignment="1">
      <alignment horizontal="right" vertical="center" wrapText="1" indent="2"/>
    </xf>
    <xf numFmtId="0" fontId="3" fillId="2" borderId="25" xfId="1" applyFont="1" applyBorder="1" applyAlignment="1">
      <alignment horizontal="center" vertical="center"/>
    </xf>
    <xf numFmtId="0" fontId="1" fillId="2" borderId="25" xfId="1" applyBorder="1" applyAlignment="1">
      <alignment horizontal="center"/>
    </xf>
    <xf numFmtId="0" fontId="3" fillId="2" borderId="25" xfId="1" applyFont="1" applyBorder="1" applyAlignment="1">
      <alignment horizontal="center" vertical="center" wrapText="1"/>
    </xf>
    <xf numFmtId="0" fontId="1" fillId="2" borderId="25" xfId="1" applyBorder="1" applyAlignment="1">
      <alignment horizontal="center" vertical="center" wrapText="1"/>
    </xf>
    <xf numFmtId="0" fontId="3" fillId="2" borderId="25" xfId="1" applyFont="1" applyBorder="1" applyAlignment="1">
      <alignment horizontal="left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3" fillId="2" borderId="25" xfId="1" applyNumberFormat="1" applyFont="1" applyBorder="1" applyAlignment="1">
      <alignment horizontal="right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3" fillId="2" borderId="25" xfId="1" applyNumberFormat="1" applyFont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right" vertical="center" wrapText="1" indent="4"/>
    </xf>
    <xf numFmtId="0" fontId="11" fillId="5" borderId="25" xfId="1" applyFont="1" applyFill="1" applyBorder="1" applyAlignment="1">
      <alignment horizontal="center"/>
    </xf>
    <xf numFmtId="0" fontId="11" fillId="5" borderId="25" xfId="1" applyFont="1" applyFill="1" applyBorder="1" applyAlignment="1">
      <alignment horizontal="center"/>
    </xf>
    <xf numFmtId="0" fontId="11" fillId="5" borderId="25" xfId="1" applyFont="1" applyFill="1" applyBorder="1" applyAlignment="1">
      <alignment horizontal="left" vertical="center"/>
    </xf>
    <xf numFmtId="3" fontId="12" fillId="6" borderId="28" xfId="1" applyNumberFormat="1" applyFont="1" applyFill="1" applyBorder="1" applyAlignment="1">
      <alignment horizontal="center" vertical="center" wrapText="1"/>
    </xf>
    <xf numFmtId="3" fontId="12" fillId="6" borderId="25" xfId="1" applyNumberFormat="1" applyFont="1" applyFill="1" applyBorder="1" applyAlignment="1">
      <alignment horizontal="center" vertical="center" wrapText="1"/>
    </xf>
    <xf numFmtId="3" fontId="12" fillId="6" borderId="26" xfId="1" applyNumberFormat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right" vertical="center" wrapText="1"/>
    </xf>
    <xf numFmtId="3" fontId="12" fillId="7" borderId="28" xfId="1" applyNumberFormat="1" applyFont="1" applyFill="1" applyBorder="1" applyAlignment="1">
      <alignment horizontal="center" vertical="center" wrapText="1"/>
    </xf>
    <xf numFmtId="3" fontId="12" fillId="7" borderId="25" xfId="1" applyNumberFormat="1" applyFont="1" applyFill="1" applyBorder="1" applyAlignment="1">
      <alignment horizontal="center" vertical="center" wrapText="1"/>
    </xf>
    <xf numFmtId="3" fontId="12" fillId="7" borderId="26" xfId="1" applyNumberFormat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/>
    </xf>
    <xf numFmtId="0" fontId="13" fillId="5" borderId="25" xfId="1" applyFont="1" applyFill="1" applyBorder="1" applyAlignment="1">
      <alignment horizontal="center"/>
    </xf>
    <xf numFmtId="0" fontId="13" fillId="5" borderId="25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 vertical="center" wrapText="1"/>
    </xf>
    <xf numFmtId="0" fontId="13" fillId="5" borderId="29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left" vertical="center" wrapText="1"/>
    </xf>
    <xf numFmtId="3" fontId="14" fillId="6" borderId="25" xfId="0" applyNumberFormat="1" applyFont="1" applyFill="1" applyBorder="1" applyAlignment="1">
      <alignment horizontal="center" vertical="center" wrapText="1"/>
    </xf>
    <xf numFmtId="3" fontId="14" fillId="6" borderId="30" xfId="0" applyNumberFormat="1" applyFont="1" applyFill="1" applyBorder="1" applyAlignment="1">
      <alignment horizontal="center" vertical="center" wrapText="1"/>
    </xf>
    <xf numFmtId="3" fontId="13" fillId="5" borderId="25" xfId="1" applyNumberFormat="1" applyFont="1" applyFill="1" applyBorder="1" applyAlignment="1">
      <alignment horizontal="right" vertical="center" wrapText="1"/>
    </xf>
    <xf numFmtId="3" fontId="14" fillId="7" borderId="25" xfId="0" applyNumberFormat="1" applyFont="1" applyFill="1" applyBorder="1" applyAlignment="1">
      <alignment horizontal="center" vertical="center" wrapText="1"/>
    </xf>
    <xf numFmtId="3" fontId="14" fillId="6" borderId="28" xfId="0" applyNumberFormat="1" applyFont="1" applyFill="1" applyBorder="1" applyAlignment="1">
      <alignment horizontal="center" vertical="center" wrapText="1"/>
    </xf>
    <xf numFmtId="3" fontId="14" fillId="6" borderId="26" xfId="0" applyNumberFormat="1" applyFont="1" applyFill="1" applyBorder="1" applyAlignment="1">
      <alignment horizontal="center" vertical="center" wrapText="1"/>
    </xf>
    <xf numFmtId="3" fontId="14" fillId="7" borderId="28" xfId="0" applyNumberFormat="1" applyFont="1" applyFill="1" applyBorder="1" applyAlignment="1">
      <alignment horizontal="center" vertical="center" wrapText="1"/>
    </xf>
    <xf numFmtId="3" fontId="14" fillId="7" borderId="26" xfId="0" applyNumberFormat="1" applyFont="1" applyFill="1" applyBorder="1" applyAlignment="1">
      <alignment horizontal="center" vertical="center" wrapText="1"/>
    </xf>
    <xf numFmtId="3" fontId="13" fillId="5" borderId="25" xfId="1" applyNumberFormat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" fontId="7" fillId="6" borderId="5" xfId="0" applyNumberFormat="1" applyFont="1" applyFill="1" applyBorder="1" applyAlignment="1">
      <alignment horizontal="right" vertical="center" wrapText="1" indent="3"/>
    </xf>
    <xf numFmtId="3" fontId="7" fillId="6" borderId="5" xfId="0" applyNumberFormat="1" applyFont="1" applyFill="1" applyBorder="1" applyAlignment="1">
      <alignment horizontal="right" vertical="center" wrapText="1" indent="2"/>
    </xf>
    <xf numFmtId="3" fontId="2" fillId="5" borderId="5" xfId="1" applyNumberFormat="1" applyFont="1" applyFill="1" applyBorder="1" applyAlignment="1">
      <alignment horizontal="right" vertical="center" wrapText="1" indent="2"/>
    </xf>
    <xf numFmtId="3" fontId="7" fillId="7" borderId="5" xfId="0" applyNumberFormat="1" applyFont="1" applyFill="1" applyBorder="1" applyAlignment="1">
      <alignment horizontal="right" vertical="center" wrapText="1" indent="3"/>
    </xf>
    <xf numFmtId="3" fontId="7" fillId="7" borderId="5" xfId="0" applyNumberFormat="1" applyFont="1" applyFill="1" applyBorder="1" applyAlignment="1">
      <alignment horizontal="right" vertical="center" wrapText="1" indent="2"/>
    </xf>
    <xf numFmtId="3" fontId="2" fillId="5" borderId="5" xfId="1" applyNumberFormat="1" applyFont="1" applyFill="1" applyBorder="1" applyAlignment="1">
      <alignment horizontal="right" vertical="center" wrapText="1" indent="3"/>
    </xf>
    <xf numFmtId="0" fontId="11" fillId="5" borderId="26" xfId="1" applyFont="1" applyFill="1" applyBorder="1" applyAlignment="1">
      <alignment horizontal="center"/>
    </xf>
    <xf numFmtId="0" fontId="11" fillId="5" borderId="27" xfId="1" applyFont="1" applyFill="1" applyBorder="1" applyAlignment="1">
      <alignment horizontal="center"/>
    </xf>
    <xf numFmtId="0" fontId="11" fillId="5" borderId="28" xfId="1" applyFont="1" applyFill="1" applyBorder="1" applyAlignment="1">
      <alignment horizontal="center"/>
    </xf>
    <xf numFmtId="3" fontId="15" fillId="6" borderId="25" xfId="0" applyNumberFormat="1" applyFont="1" applyFill="1" applyBorder="1" applyAlignment="1">
      <alignment horizontal="center" vertical="center" wrapText="1"/>
    </xf>
    <xf numFmtId="3" fontId="15" fillId="6" borderId="30" xfId="0" applyNumberFormat="1" applyFont="1" applyFill="1" applyBorder="1" applyAlignment="1">
      <alignment horizontal="center" vertical="center" wrapText="1"/>
    </xf>
    <xf numFmtId="3" fontId="15" fillId="7" borderId="25" xfId="0" applyNumberFormat="1" applyFont="1" applyFill="1" applyBorder="1" applyAlignment="1">
      <alignment horizontal="center" vertical="center" wrapText="1"/>
    </xf>
    <xf numFmtId="3" fontId="15" fillId="6" borderId="28" xfId="0" applyNumberFormat="1" applyFont="1" applyFill="1" applyBorder="1" applyAlignment="1">
      <alignment horizontal="center" vertical="center" wrapText="1"/>
    </xf>
    <xf numFmtId="3" fontId="15" fillId="6" borderId="26" xfId="0" applyNumberFormat="1" applyFont="1" applyFill="1" applyBorder="1" applyAlignment="1">
      <alignment horizontal="center" vertical="center" wrapText="1"/>
    </xf>
    <xf numFmtId="3" fontId="15" fillId="7" borderId="28" xfId="0" applyNumberFormat="1" applyFont="1" applyFill="1" applyBorder="1" applyAlignment="1">
      <alignment horizontal="center" vertical="center" wrapText="1"/>
    </xf>
    <xf numFmtId="3" fontId="15" fillId="7" borderId="26" xfId="0" applyNumberFormat="1" applyFont="1" applyFill="1" applyBorder="1" applyAlignment="1">
      <alignment horizontal="center" vertical="center" wrapText="1"/>
    </xf>
    <xf numFmtId="0" fontId="11" fillId="5" borderId="35" xfId="1" applyFont="1" applyFill="1" applyBorder="1" applyAlignment="1">
      <alignment horizontal="left" vertical="center" wrapText="1"/>
    </xf>
    <xf numFmtId="3" fontId="11" fillId="5" borderId="25" xfId="0" applyNumberFormat="1" applyFont="1" applyFill="1" applyBorder="1" applyAlignment="1">
      <alignment horizontal="center" vertical="center" wrapText="1"/>
    </xf>
    <xf numFmtId="3" fontId="6" fillId="6" borderId="5" xfId="0" applyNumberFormat="1" applyFont="1" applyFill="1" applyBorder="1" applyAlignment="1">
      <alignment horizontal="right" vertical="center" wrapText="1" indent="4"/>
    </xf>
    <xf numFmtId="3" fontId="6" fillId="7" borderId="5" xfId="0" applyNumberFormat="1" applyFont="1" applyFill="1" applyBorder="1" applyAlignment="1">
      <alignment horizontal="right" vertical="center" wrapText="1" indent="4"/>
    </xf>
    <xf numFmtId="3" fontId="6" fillId="6" borderId="4" xfId="0" applyNumberFormat="1" applyFont="1" applyFill="1" applyBorder="1" applyAlignment="1">
      <alignment horizontal="right" vertical="center" wrapText="1" indent="3"/>
    </xf>
    <xf numFmtId="3" fontId="6" fillId="7" borderId="4" xfId="0" applyNumberFormat="1" applyFont="1" applyFill="1" applyBorder="1" applyAlignment="1">
      <alignment horizontal="right" vertical="center" wrapText="1" indent="3"/>
    </xf>
    <xf numFmtId="3" fontId="2" fillId="5" borderId="8" xfId="1" applyNumberFormat="1" applyFont="1" applyFill="1" applyBorder="1" applyAlignment="1">
      <alignment horizontal="center" vertical="center" wrapText="1"/>
    </xf>
    <xf numFmtId="0" fontId="10" fillId="5" borderId="25" xfId="1" applyFont="1" applyFill="1" applyBorder="1" applyAlignment="1">
      <alignment horizontal="center"/>
    </xf>
    <xf numFmtId="0" fontId="10" fillId="5" borderId="25" xfId="1" applyFont="1" applyFill="1" applyBorder="1" applyAlignment="1">
      <alignment horizontal="center" vertical="center" wrapText="1"/>
    </xf>
    <xf numFmtId="3" fontId="10" fillId="5" borderId="25" xfId="1" applyNumberFormat="1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0" fontId="16" fillId="8" borderId="38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vertical="center" wrapText="1"/>
    </xf>
    <xf numFmtId="0" fontId="17" fillId="10" borderId="43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9" borderId="44" xfId="0" applyFont="1" applyFill="1" applyBorder="1" applyAlignment="1">
      <alignment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6" fillId="9" borderId="36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16" fillId="9" borderId="40" xfId="0" applyFont="1" applyFill="1" applyBorder="1" applyAlignment="1">
      <alignment horizontal="center" vertical="center" wrapText="1"/>
    </xf>
    <xf numFmtId="3" fontId="16" fillId="9" borderId="43" xfId="0" applyNumberFormat="1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3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6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3" formatCode="#,##0"/>
      <fill>
        <patternFill patternType="none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none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</font>
      <fill>
        <patternFill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5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" formatCode="#,##0"/>
      <fill>
        <patternFill patternType="solid">
          <fgColor indexed="64"/>
          <bgColor theme="1" tint="0.34998626667073579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outline="0">
        <right style="thin">
          <color rgb="FFC0C0C0"/>
        </right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4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[1]Auditorías!$B$1</c:f>
              <c:strCache>
                <c:ptCount val="1"/>
                <c:pt idx="0">
                  <c:v>Auditorías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ash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[1]Auditorías!$A$2:$A$24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[1]Auditorías!$B$2:$B$24</c:f>
              <c:numCache>
                <c:formatCode>General</c:formatCode>
                <c:ptCount val="23"/>
                <c:pt idx="0">
                  <c:v>335</c:v>
                </c:pt>
                <c:pt idx="1">
                  <c:v>338</c:v>
                </c:pt>
                <c:pt idx="2">
                  <c:v>424</c:v>
                </c:pt>
                <c:pt idx="3">
                  <c:v>628</c:v>
                </c:pt>
                <c:pt idx="4">
                  <c:v>754</c:v>
                </c:pt>
                <c:pt idx="5">
                  <c:v>962</c:v>
                </c:pt>
                <c:pt idx="6">
                  <c:v>987</c:v>
                </c:pt>
                <c:pt idx="7">
                  <c:v>945</c:v>
                </c:pt>
                <c:pt idx="8">
                  <c:v>1031</c:v>
                </c:pt>
                <c:pt idx="9">
                  <c:v>1111</c:v>
                </c:pt>
                <c:pt idx="10">
                  <c:v>1174</c:v>
                </c:pt>
                <c:pt idx="11">
                  <c:v>1413</c:v>
                </c:pt>
                <c:pt idx="12">
                  <c:v>1665</c:v>
                </c:pt>
                <c:pt idx="13">
                  <c:v>1655</c:v>
                </c:pt>
                <c:pt idx="14">
                  <c:v>1873</c:v>
                </c:pt>
                <c:pt idx="15">
                  <c:v>1676</c:v>
                </c:pt>
                <c:pt idx="16">
                  <c:v>1814</c:v>
                </c:pt>
                <c:pt idx="17">
                  <c:v>1361</c:v>
                </c:pt>
                <c:pt idx="18">
                  <c:v>1617</c:v>
                </c:pt>
                <c:pt idx="19">
                  <c:v>2051</c:v>
                </c:pt>
                <c:pt idx="20">
                  <c:v>2153</c:v>
                </c:pt>
                <c:pt idx="21" formatCode="#,##0">
                  <c:v>2369</c:v>
                </c:pt>
                <c:pt idx="22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C-4778-B0F7-0A7A5C563E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5104703"/>
        <c:axId val="127758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[1]Auditorías!$C$1</c15:sqref>
                        </c15:formulaRef>
                      </c:ext>
                    </c:extLst>
                    <c:strCache>
                      <c:ptCount val="1"/>
                      <c:pt idx="0">
                        <c:v>PAAF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[1]Auditorías!$C$2:$C$24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939</c:v>
                      </c:pt>
                      <c:pt idx="8">
                        <c:v>1029</c:v>
                      </c:pt>
                      <c:pt idx="9">
                        <c:v>1111</c:v>
                      </c:pt>
                      <c:pt idx="10">
                        <c:v>1173</c:v>
                      </c:pt>
                      <c:pt idx="11">
                        <c:v>1413</c:v>
                      </c:pt>
                      <c:pt idx="12">
                        <c:v>1663</c:v>
                      </c:pt>
                      <c:pt idx="13">
                        <c:v>1643</c:v>
                      </c:pt>
                      <c:pt idx="14">
                        <c:v>1865</c:v>
                      </c:pt>
                      <c:pt idx="15">
                        <c:v>1675</c:v>
                      </c:pt>
                      <c:pt idx="16">
                        <c:v>1808</c:v>
                      </c:pt>
                      <c:pt idx="17">
                        <c:v>1358</c:v>
                      </c:pt>
                      <c:pt idx="18">
                        <c:v>1616</c:v>
                      </c:pt>
                      <c:pt idx="19">
                        <c:v>2050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152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63C-4778-B0F7-0A7A5C563EB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[1]Auditorías!$D$1</c15:sqref>
                        </c15:formulaRef>
                      </c:ext>
                    </c:extLst>
                    <c:strCache>
                      <c:ptCount val="1"/>
                      <c:pt idx="0">
                        <c:v>Título 4o.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[1]Auditorías!$D$2:$D$24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10">
                        <c:v>1</c:v>
                      </c:pt>
                      <c:pt idx="12">
                        <c:v>2</c:v>
                      </c:pt>
                      <c:pt idx="13">
                        <c:v>12</c:v>
                      </c:pt>
                      <c:pt idx="14">
                        <c:v>8</c:v>
                      </c:pt>
                      <c:pt idx="15">
                        <c:v>1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1</c:v>
                      </c:pt>
                      <c:pt idx="1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63C-4778-B0F7-0A7A5C563EB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[1]Auditorías!$E$1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[1]Auditorías!$E$2:$E$24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945</c:v>
                      </c:pt>
                      <c:pt idx="8">
                        <c:v>1031</c:v>
                      </c:pt>
                      <c:pt idx="9">
                        <c:v>1111</c:v>
                      </c:pt>
                      <c:pt idx="10" formatCode="General">
                        <c:v>1174</c:v>
                      </c:pt>
                      <c:pt idx="11" formatCode="General">
                        <c:v>1413</c:v>
                      </c:pt>
                      <c:pt idx="12" formatCode="General">
                        <c:v>1665</c:v>
                      </c:pt>
                      <c:pt idx="13" formatCode="General">
                        <c:v>1655</c:v>
                      </c:pt>
                      <c:pt idx="14" formatCode="General">
                        <c:v>1873</c:v>
                      </c:pt>
                      <c:pt idx="15" formatCode="General">
                        <c:v>1676</c:v>
                      </c:pt>
                      <c:pt idx="16" formatCode="General">
                        <c:v>1814</c:v>
                      </c:pt>
                      <c:pt idx="17" formatCode="General">
                        <c:v>1361</c:v>
                      </c:pt>
                      <c:pt idx="18" formatCode="General">
                        <c:v>1617</c:v>
                      </c:pt>
                      <c:pt idx="19" formatCode="General">
                        <c:v>2051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2264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63C-4778-B0F7-0A7A5C563EBE}"/>
                  </c:ext>
                </c:extLst>
              </c15:ser>
            </c15:filteredBarSeries>
          </c:ext>
        </c:extLst>
      </c:barChart>
      <c:catAx>
        <c:axId val="101510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589679"/>
        <c:crosses val="autoZero"/>
        <c:auto val="1"/>
        <c:lblAlgn val="ctr"/>
        <c:lblOffset val="100"/>
        <c:noMultiLvlLbl val="0"/>
      </c:catAx>
      <c:valAx>
        <c:axId val="12775896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10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'[1]Pliegos de Observaciones'!$B$1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EB-474B-8B75-7622995615EC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B-474B-8B75-7622995615EC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B-474B-8B75-7622995615EC}"/>
                </c:ext>
              </c:extLst>
            </c:dLbl>
            <c:dLbl>
              <c:idx val="21"/>
              <c:layout>
                <c:manualLayout>
                  <c:x val="0"/>
                  <c:y val="-3.7199291948971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B-474B-8B75-7622995615EC}"/>
                </c:ext>
              </c:extLst>
            </c:dLbl>
            <c:dLbl>
              <c:idx val="22"/>
              <c:layout>
                <c:manualLayout>
                  <c:x val="-1.1251628107433089E-16"/>
                  <c:y val="-3.3207837392419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B-474B-8B75-7622995615EC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'[1]Pliegos de Observaciones'!$B$2:$B$24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'[1]Pliegos de Observaciones'!$C$2:$C$24</c:f>
              <c:numCache>
                <c:formatCode>#,##0</c:formatCode>
                <c:ptCount val="23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2557</c:v>
                </c:pt>
                <c:pt idx="17">
                  <c:v>1628</c:v>
                </c:pt>
                <c:pt idx="18">
                  <c:v>1333</c:v>
                </c:pt>
                <c:pt idx="19">
                  <c:v>1469</c:v>
                </c:pt>
                <c:pt idx="20">
                  <c:v>1696</c:v>
                </c:pt>
                <c:pt idx="21">
                  <c:v>2594</c:v>
                </c:pt>
                <c:pt idx="22">
                  <c:v>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EB-474B-8B75-76229956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[1]PRAS!$B$2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5-433C-B9A8-7C5DE640D70C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45-433C-B9A8-7C5DE640D70C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45-433C-B9A8-7C5DE640D70C}"/>
                </c:ext>
              </c:extLst>
            </c:dLbl>
            <c:dLbl>
              <c:idx val="21"/>
              <c:layout>
                <c:manualLayout>
                  <c:x val="-1.1251628107433089E-16"/>
                  <c:y val="-4.401513764267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45-433C-B9A8-7C5DE640D70C}"/>
                </c:ext>
              </c:extLst>
            </c:dLbl>
            <c:dLbl>
              <c:idx val="22"/>
              <c:layout>
                <c:manualLayout>
                  <c:x val="-1.1251628107433089E-16"/>
                  <c:y val="-3.5617896600134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45-433C-B9A8-7C5DE640D70C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[1]PRAS!$B$3:$B$25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[1]PRAS!$C$3:$C$25</c:f>
              <c:numCache>
                <c:formatCode>#,##0</c:formatCode>
                <c:ptCount val="23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2508</c:v>
                </c:pt>
                <c:pt idx="22">
                  <c:v>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45-433C-B9A8-7C5DE640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[1]FRR!$B$1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7C-4A51-9A66-9BCF2E47AB6F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7C-4A51-9A66-9BCF2E47AB6F}"/>
                </c:ext>
              </c:extLst>
            </c:dLbl>
            <c:dLbl>
              <c:idx val="14"/>
              <c:layout>
                <c:manualLayout>
                  <c:x val="0"/>
                  <c:y val="-4.68800585973263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C-4A51-9A66-9BCF2E47AB6F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[1]FRR!$B$2:$B$16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[1]FRR!$C$2:$C$16</c:f>
              <c:numCache>
                <c:formatCode>General</c:formatCode>
                <c:ptCount val="15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7C-4A51-9A66-9BCF2E47A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[1]DH!$B$1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D2-494D-AA92-65183379A365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D2-494D-AA92-65183379A365}"/>
                </c:ext>
              </c:extLst>
            </c:dLbl>
            <c:dLbl>
              <c:idx val="2"/>
              <c:layout>
                <c:manualLayout>
                  <c:x val="0"/>
                  <c:y val="-2.860990050662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D2-494D-AA92-65183379A365}"/>
                </c:ext>
              </c:extLst>
            </c:dLbl>
            <c:dLbl>
              <c:idx val="3"/>
              <c:layout>
                <c:manualLayout>
                  <c:x val="-2.8129070268582722E-17"/>
                  <c:y val="-4.2273087957028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2-494D-AA92-65183379A365}"/>
                </c:ext>
              </c:extLst>
            </c:dLbl>
            <c:dLbl>
              <c:idx val="4"/>
              <c:layout>
                <c:manualLayout>
                  <c:x val="0"/>
                  <c:y val="-2.7349813831410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D2-494D-AA92-65183379A365}"/>
                </c:ext>
              </c:extLst>
            </c:dLbl>
            <c:dLbl>
              <c:idx val="5"/>
              <c:layout>
                <c:manualLayout>
                  <c:x val="0"/>
                  <c:y val="-5.4195202343893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D2-494D-AA92-65183379A365}"/>
                </c:ext>
              </c:extLst>
            </c:dLbl>
            <c:dLbl>
              <c:idx val="16"/>
              <c:layout>
                <c:manualLayout>
                  <c:x val="0"/>
                  <c:y val="-3.549117988158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D2-494D-AA92-65183379A365}"/>
                </c:ext>
              </c:extLst>
            </c:dLbl>
            <c:dLbl>
              <c:idx val="17"/>
              <c:layout>
                <c:manualLayout>
                  <c:x val="-1.1251628107433089E-16"/>
                  <c:y val="-4.0532014893487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D2-494D-AA92-65183379A365}"/>
                </c:ext>
              </c:extLst>
            </c:dLbl>
            <c:dLbl>
              <c:idx val="18"/>
              <c:layout>
                <c:manualLayout>
                  <c:x val="-1.1251628107433089E-16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D2-494D-AA92-65183379A365}"/>
                </c:ext>
              </c:extLst>
            </c:dLbl>
            <c:dLbl>
              <c:idx val="19"/>
              <c:layout>
                <c:manualLayout>
                  <c:x val="-1.5343306482546988E-3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D2-494D-AA92-65183379A365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[1]DH!$B$2:$B$22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SIMULACIÓN DE REINTEGRO</c:v>
                </c:pt>
              </c:strCache>
            </c:strRef>
          </c:cat>
          <c:val>
            <c:numRef>
              <c:f>[1]DH!$C$2:$C$22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88</c:v>
                </c:pt>
                <c:pt idx="7">
                  <c:v>140</c:v>
                </c:pt>
                <c:pt idx="8">
                  <c:v>147</c:v>
                </c:pt>
                <c:pt idx="9">
                  <c:v>221</c:v>
                </c:pt>
                <c:pt idx="10">
                  <c:v>103</c:v>
                </c:pt>
                <c:pt idx="11">
                  <c:v>94</c:v>
                </c:pt>
                <c:pt idx="12">
                  <c:v>62</c:v>
                </c:pt>
                <c:pt idx="13">
                  <c:v>48</c:v>
                </c:pt>
                <c:pt idx="14">
                  <c:v>91</c:v>
                </c:pt>
                <c:pt idx="15">
                  <c:v>43</c:v>
                </c:pt>
                <c:pt idx="16">
                  <c:v>9</c:v>
                </c:pt>
                <c:pt idx="17">
                  <c:v>17</c:v>
                </c:pt>
                <c:pt idx="18">
                  <c:v>2</c:v>
                </c:pt>
                <c:pt idx="19">
                  <c:v>4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D2-494D-AA92-65183379A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5F-46A1-B2A8-EC0830586B2C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5F-46A1-B2A8-EC0830586B2C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D5F-46A1-B2A8-EC0830586B2C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D5F-46A1-B2A8-EC0830586B2C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D5F-46A1-B2A8-EC0830586B2C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D5F-46A1-B2A8-EC0830586B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[1]Auditorías!$G$3:$G$8</c:f>
              <c:strCache>
                <c:ptCount val="6"/>
                <c:pt idx="0">
                  <c:v>Financiera y de Cumplimiento</c:v>
                </c:pt>
                <c:pt idx="1">
                  <c:v>Financiera con Enfoque de Desempeño</c:v>
                </c:pt>
                <c:pt idx="2">
                  <c:v>Cumplimiento a Inversiones Físicas</c:v>
                </c:pt>
                <c:pt idx="3">
                  <c:v>Desempeño</c:v>
                </c:pt>
                <c:pt idx="4">
                  <c:v>Otras</c:v>
                </c:pt>
                <c:pt idx="5">
                  <c:v>De Cumplimiento Forense</c:v>
                </c:pt>
              </c:strCache>
            </c:strRef>
          </c:cat>
          <c:val>
            <c:numRef>
              <c:f>[1]Auditorías!$H$3:$H$8</c:f>
              <c:numCache>
                <c:formatCode>0.00%</c:formatCode>
                <c:ptCount val="6"/>
                <c:pt idx="0">
                  <c:v>0.62803921568627452</c:v>
                </c:pt>
                <c:pt idx="1">
                  <c:v>0.13513071895424836</c:v>
                </c:pt>
                <c:pt idx="2">
                  <c:v>8.7973856209150325E-2</c:v>
                </c:pt>
                <c:pt idx="3">
                  <c:v>8.2418300653594775E-2</c:v>
                </c:pt>
                <c:pt idx="4">
                  <c:v>5.8660130718954248E-2</c:v>
                </c:pt>
                <c:pt idx="5">
                  <c:v>7.7777777777777776E-3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D5F-46A1-B2A8-EC0830586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8020349815382"/>
          <c:y val="0.11985977780174738"/>
          <c:w val="0.34857296822240647"/>
          <c:h val="0.7602804443965052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[1]Resultados!$L$5</c:f>
              <c:strCache>
                <c:ptCount val="1"/>
                <c:pt idx="0">
                  <c:v>2,584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.13411685643795862"/>
                  <c:y val="2.6057078060773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0-4DC3-A103-F6EB3E055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[1]Resultados!$M$4:$AH$4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[1]Resultados!$M$5:$AH$5</c:f>
              <c:numCache>
                <c:formatCode>#,##0</c:formatCode>
                <c:ptCount val="22"/>
                <c:pt idx="0">
                  <c:v>2644</c:v>
                </c:pt>
                <c:pt idx="1">
                  <c:v>3424</c:v>
                </c:pt>
                <c:pt idx="2">
                  <c:v>4519</c:v>
                </c:pt>
                <c:pt idx="3">
                  <c:v>7182</c:v>
                </c:pt>
                <c:pt idx="4">
                  <c:v>9553</c:v>
                </c:pt>
                <c:pt idx="5">
                  <c:v>7746</c:v>
                </c:pt>
                <c:pt idx="6">
                  <c:v>19196</c:v>
                </c:pt>
                <c:pt idx="7">
                  <c:v>23343</c:v>
                </c:pt>
                <c:pt idx="8">
                  <c:v>22390</c:v>
                </c:pt>
                <c:pt idx="9">
                  <c:v>22964</c:v>
                </c:pt>
                <c:pt idx="10">
                  <c:v>23581</c:v>
                </c:pt>
                <c:pt idx="11">
                  <c:v>26280</c:v>
                </c:pt>
                <c:pt idx="12">
                  <c:v>26330</c:v>
                </c:pt>
                <c:pt idx="13">
                  <c:v>26799</c:v>
                </c:pt>
                <c:pt idx="14">
                  <c:v>26154</c:v>
                </c:pt>
                <c:pt idx="15">
                  <c:v>28070</c:v>
                </c:pt>
                <c:pt idx="16">
                  <c:v>21181</c:v>
                </c:pt>
                <c:pt idx="17">
                  <c:v>24288</c:v>
                </c:pt>
                <c:pt idx="18">
                  <c:v>26802</c:v>
                </c:pt>
                <c:pt idx="19">
                  <c:v>25605</c:v>
                </c:pt>
                <c:pt idx="20">
                  <c:v>24603</c:v>
                </c:pt>
                <c:pt idx="21">
                  <c:v>22267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0-4DC3-A103-F6EB3E055A90}"/>
            </c:ext>
          </c:extLst>
        </c:ser>
        <c:ser>
          <c:idx val="2"/>
          <c:order val="1"/>
          <c:tx>
            <c:strRef>
              <c:f>[1]Resultados!$L$6</c:f>
              <c:strCache>
                <c:ptCount val="1"/>
                <c:pt idx="0">
                  <c:v>2,505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7.2423813132145007E-2"/>
                  <c:y val="2.54431883165442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0-4DC3-A103-F6EB3E055A90}"/>
                </c:ext>
              </c:extLst>
            </c:dLbl>
            <c:dLbl>
              <c:idx val="21"/>
              <c:layout>
                <c:manualLayout>
                  <c:x val="2.114031561954337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0-4DC3-A103-F6EB3E055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[1]Resultados!$M$4:$AH$4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[1]Resultados!$M$6:$AH$6</c:f>
              <c:numCache>
                <c:formatCode>#,##0</c:formatCode>
                <c:ptCount val="22"/>
                <c:pt idx="0">
                  <c:v>2295</c:v>
                </c:pt>
                <c:pt idx="1">
                  <c:v>3064</c:v>
                </c:pt>
                <c:pt idx="2">
                  <c:v>4269</c:v>
                </c:pt>
                <c:pt idx="3">
                  <c:v>6684</c:v>
                </c:pt>
                <c:pt idx="4">
                  <c:v>7620</c:v>
                </c:pt>
                <c:pt idx="5">
                  <c:v>6296</c:v>
                </c:pt>
                <c:pt idx="6">
                  <c:v>5909</c:v>
                </c:pt>
                <c:pt idx="7">
                  <c:v>6935</c:v>
                </c:pt>
                <c:pt idx="8">
                  <c:v>6369</c:v>
                </c:pt>
                <c:pt idx="9">
                  <c:v>6564</c:v>
                </c:pt>
                <c:pt idx="10">
                  <c:v>6902</c:v>
                </c:pt>
                <c:pt idx="11">
                  <c:v>3366</c:v>
                </c:pt>
                <c:pt idx="12">
                  <c:v>3979</c:v>
                </c:pt>
                <c:pt idx="13">
                  <c:v>4453</c:v>
                </c:pt>
                <c:pt idx="14">
                  <c:v>4446</c:v>
                </c:pt>
                <c:pt idx="15">
                  <c:v>5013</c:v>
                </c:pt>
                <c:pt idx="16">
                  <c:v>3763</c:v>
                </c:pt>
                <c:pt idx="17">
                  <c:v>2444</c:v>
                </c:pt>
                <c:pt idx="18">
                  <c:v>2317</c:v>
                </c:pt>
                <c:pt idx="19">
                  <c:v>1836</c:v>
                </c:pt>
                <c:pt idx="20">
                  <c:v>1385</c:v>
                </c:pt>
                <c:pt idx="21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E0-4DC3-A103-F6EB3E055A90}"/>
            </c:ext>
          </c:extLst>
        </c:ser>
        <c:ser>
          <c:idx val="3"/>
          <c:order val="2"/>
          <c:tx>
            <c:strRef>
              <c:f>[1]Resultados!$L$7</c:f>
              <c:strCache>
                <c:ptCount val="1"/>
                <c:pt idx="0">
                  <c:v>1,407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5.912875246537482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E0-4DC3-A103-F6EB3E055A90}"/>
                </c:ext>
              </c:extLst>
            </c:dLbl>
            <c:dLbl>
              <c:idx val="22"/>
              <c:layout>
                <c:manualLayout>
                  <c:x val="2.3929400129331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0-4DC3-A103-F6EB3E055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[1]Resultados!$M$4:$AH$4</c:f>
              <c:strCach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strCache>
            </c:strRef>
          </c:cat>
          <c:val>
            <c:numRef>
              <c:f>[1]Resultados!$M$7:$AH$7</c:f>
              <c:numCache>
                <c:formatCode>#,##0</c:formatCode>
                <c:ptCount val="22"/>
                <c:pt idx="0">
                  <c:v>1589</c:v>
                </c:pt>
                <c:pt idx="1">
                  <c:v>1071</c:v>
                </c:pt>
                <c:pt idx="2">
                  <c:v>1067</c:v>
                </c:pt>
                <c:pt idx="3">
                  <c:v>1826</c:v>
                </c:pt>
                <c:pt idx="4">
                  <c:v>3564</c:v>
                </c:pt>
                <c:pt idx="5">
                  <c:v>2738</c:v>
                </c:pt>
                <c:pt idx="6">
                  <c:v>3056</c:v>
                </c:pt>
                <c:pt idx="7">
                  <c:v>4201</c:v>
                </c:pt>
                <c:pt idx="8">
                  <c:v>3791</c:v>
                </c:pt>
                <c:pt idx="9">
                  <c:v>4882</c:v>
                </c:pt>
                <c:pt idx="10">
                  <c:v>4867</c:v>
                </c:pt>
                <c:pt idx="11">
                  <c:v>6443</c:v>
                </c:pt>
                <c:pt idx="12">
                  <c:v>7026</c:v>
                </c:pt>
                <c:pt idx="13">
                  <c:v>6210</c:v>
                </c:pt>
                <c:pt idx="14">
                  <c:v>5197</c:v>
                </c:pt>
                <c:pt idx="15">
                  <c:v>5372</c:v>
                </c:pt>
                <c:pt idx="16">
                  <c:v>3525</c:v>
                </c:pt>
                <c:pt idx="17">
                  <c:v>3144</c:v>
                </c:pt>
                <c:pt idx="18">
                  <c:v>3329</c:v>
                </c:pt>
                <c:pt idx="19">
                  <c:v>3713</c:v>
                </c:pt>
                <c:pt idx="20">
                  <c:v>5717</c:v>
                </c:pt>
                <c:pt idx="21">
                  <c:v>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E0-4DC3-A103-F6EB3E055A90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327923903"/>
        <c:axId val="198941167"/>
      </c:barChart>
      <c:catAx>
        <c:axId val="1327923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941167"/>
        <c:crosses val="autoZero"/>
        <c:auto val="1"/>
        <c:lblAlgn val="ctr"/>
        <c:lblOffset val="100"/>
        <c:noMultiLvlLbl val="0"/>
      </c:catAx>
      <c:valAx>
        <c:axId val="198941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923903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7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[1]Acciones!$B$5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[1]Acciones!$C$5:$X$5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C-4BF0-9A68-08E87464F717}"/>
            </c:ext>
          </c:extLst>
        </c:ser>
        <c:ser>
          <c:idx val="1"/>
          <c:order val="1"/>
          <c:tx>
            <c:strRef>
              <c:f>[1]Acciones!$B$6</c:f>
              <c:strCache>
                <c:ptCount val="1"/>
                <c:pt idx="0">
                  <c:v>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[1]Acciones!$C$6:$X$6</c:f>
              <c:numCache>
                <c:formatCode>#,##0</c:formatCode>
                <c:ptCount val="22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C-4BF0-9A68-08E87464F717}"/>
            </c:ext>
          </c:extLst>
        </c:ser>
        <c:ser>
          <c:idx val="2"/>
          <c:order val="2"/>
          <c:tx>
            <c:strRef>
              <c:f>[1]Acciones!$B$7</c:f>
              <c:strCache>
                <c:ptCount val="1"/>
                <c:pt idx="0">
                  <c:v>PRAS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[1]Acciones!$C$7:$X$7</c:f>
              <c:numCache>
                <c:formatCode>#,##0</c:formatCode>
                <c:ptCount val="22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C-4BF0-9A68-08E87464F717}"/>
            </c:ext>
          </c:extLst>
        </c:ser>
        <c:ser>
          <c:idx val="3"/>
          <c:order val="3"/>
          <c:tx>
            <c:strRef>
              <c:f>[1]Acciones!$B$8</c:f>
              <c:strCache>
                <c:ptCount val="1"/>
                <c:pt idx="0">
                  <c:v>PO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[1]Acciones!$C$8:$X$8</c:f>
              <c:numCache>
                <c:formatCode>#,##0</c:formatCode>
                <c:ptCount val="22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2557</c:v>
                </c:pt>
                <c:pt idx="17">
                  <c:v>1628</c:v>
                </c:pt>
                <c:pt idx="18">
                  <c:v>1333</c:v>
                </c:pt>
                <c:pt idx="19">
                  <c:v>1469</c:v>
                </c:pt>
                <c:pt idx="20">
                  <c:v>1696</c:v>
                </c:pt>
                <c:pt idx="21">
                  <c:v>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7C-4BF0-9A68-08E87464F717}"/>
            </c:ext>
          </c:extLst>
        </c:ser>
        <c:ser>
          <c:idx val="4"/>
          <c:order val="4"/>
          <c:tx>
            <c:strRef>
              <c:f>[1]Acciones!$B$9</c:f>
              <c:strCache>
                <c:ptCount val="1"/>
                <c:pt idx="0">
                  <c:v>RD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[1]Acciones!$C$9:$X$9</c:f>
              <c:numCache>
                <c:formatCode>#,##0</c:formatCode>
                <c:ptCount val="22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  <c:pt idx="21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7C-4BF0-9A68-08E87464F717}"/>
            </c:ext>
          </c:extLst>
        </c:ser>
        <c:ser>
          <c:idx val="5"/>
          <c:order val="5"/>
          <c:tx>
            <c:strRef>
              <c:f>[1]Acciones!$B$10</c:f>
              <c:strCache>
                <c:ptCount val="1"/>
                <c:pt idx="0">
                  <c:v>SA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[1]Acciones!$C$10:$X$10</c:f>
              <c:numCache>
                <c:formatCode>#,##0</c:formatCode>
                <c:ptCount val="22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7C-4BF0-9A68-08E87464F717}"/>
            </c:ext>
          </c:extLst>
        </c:ser>
        <c:ser>
          <c:idx val="6"/>
          <c:order val="6"/>
          <c:tx>
            <c:strRef>
              <c:f>[1]Acciones!$B$11</c:f>
              <c:strCache>
                <c:ptCount val="1"/>
                <c:pt idx="0">
                  <c:v>FRR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[1]Acciones!$C$11:$X$11</c:f>
              <c:numCache>
                <c:formatCode>#,##0</c:formatCode>
                <c:ptCount val="22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7C-4BF0-9A68-08E87464F717}"/>
            </c:ext>
          </c:extLst>
        </c:ser>
        <c:ser>
          <c:idx val="7"/>
          <c:order val="7"/>
          <c:tx>
            <c:strRef>
              <c:f>[1]Acciones!$B$12</c:f>
              <c:strCache>
                <c:ptCount val="1"/>
                <c:pt idx="0">
                  <c:v>PEFCF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[1]Acciones!$C$12:$X$12</c:f>
              <c:numCache>
                <c:formatCode>#,##0</c:formatCode>
                <c:ptCount val="22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7C-4BF0-9A68-08E87464F717}"/>
            </c:ext>
          </c:extLst>
        </c:ser>
        <c:ser>
          <c:idx val="8"/>
          <c:order val="8"/>
          <c:tx>
            <c:strRef>
              <c:f>[1]Acciones!$B$13</c:f>
              <c:strCache>
                <c:ptCount val="1"/>
                <c:pt idx="0">
                  <c:v>DH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[1]Acciones!$C$13:$X$13</c:f>
              <c:numCache>
                <c:formatCode>#,##0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35</c:v>
                </c:pt>
                <c:pt idx="7">
                  <c:v>112</c:v>
                </c:pt>
                <c:pt idx="8">
                  <c:v>160</c:v>
                </c:pt>
                <c:pt idx="9">
                  <c:v>164</c:v>
                </c:pt>
                <c:pt idx="10">
                  <c:v>221</c:v>
                </c:pt>
                <c:pt idx="11">
                  <c:v>103</c:v>
                </c:pt>
                <c:pt idx="12">
                  <c:v>94</c:v>
                </c:pt>
                <c:pt idx="13">
                  <c:v>62</c:v>
                </c:pt>
                <c:pt idx="14">
                  <c:v>48</c:v>
                </c:pt>
                <c:pt idx="15">
                  <c:v>91</c:v>
                </c:pt>
                <c:pt idx="16">
                  <c:v>43</c:v>
                </c:pt>
                <c:pt idx="17">
                  <c:v>9</c:v>
                </c:pt>
                <c:pt idx="18">
                  <c:v>17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7C-4BF0-9A68-08E87464F717}"/>
            </c:ext>
          </c:extLst>
        </c:ser>
        <c:ser>
          <c:idx val="9"/>
          <c:order val="9"/>
          <c:tx>
            <c:strRef>
              <c:f>[1]Acciones!$B$14</c:f>
              <c:strCache>
                <c:ptCount val="1"/>
                <c:pt idx="0">
                  <c:v>PIIC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[1]Acciones!$C$14:$X$14</c:f>
              <c:numCache>
                <c:formatCode>#,##0</c:formatCode>
                <c:ptCount val="22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7C-4BF0-9A68-08E87464F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96527"/>
        <c:axId val="1277558927"/>
      </c:lineChart>
      <c:catAx>
        <c:axId val="101869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558927"/>
        <c:crosses val="autoZero"/>
        <c:auto val="1"/>
        <c:lblAlgn val="ctr"/>
        <c:lblOffset val="100"/>
        <c:noMultiLvlLbl val="0"/>
      </c:catAx>
      <c:valAx>
        <c:axId val="1277558927"/>
        <c:scaling>
          <c:orientation val="minMax"/>
        </c:scaling>
        <c:delete val="0"/>
        <c:axPos val="l"/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869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[1]Recomendaciones!$B$1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"/>
                  <c:y val="-2.69603857657328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90-4157-A0D0-12BAB3E7B30D}"/>
                </c:ext>
              </c:extLst>
            </c:dLbl>
            <c:dLbl>
              <c:idx val="21"/>
              <c:layout>
                <c:manualLayout>
                  <c:x val="0"/>
                  <c:y val="-2.8677287432094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0-4157-A0D0-12BAB3E7B30D}"/>
                </c:ext>
              </c:extLst>
            </c:dLbl>
            <c:dLbl>
              <c:idx val="22"/>
              <c:layout>
                <c:manualLayout>
                  <c:x val="-2.0892446208032808E-16"/>
                  <c:y val="-2.664200695843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90-4157-A0D0-12BAB3E7B30D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[1]Recomendaciones!$B$2:$B$24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[1]Recomendaciones!$C$2:$C$24</c:f>
              <c:numCache>
                <c:formatCode>#,##0</c:formatCode>
                <c:ptCount val="23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1066</c:v>
                </c:pt>
                <c:pt idx="22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90-4157-A0D0-12BAB3E7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'[1]Recomendaciones al Desempeño'!$B$1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-1.1251628107433089E-16"/>
                  <c:y val="-3.44078618079716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A-4992-A3BA-DE9B8539A63A}"/>
                </c:ext>
              </c:extLst>
            </c:dLbl>
            <c:dLbl>
              <c:idx val="22"/>
              <c:layout>
                <c:manualLayout>
                  <c:x val="-1.0662666112714673E-16"/>
                  <c:y val="-2.3812351324936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2A-4992-A3BA-DE9B8539A63A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'[1]Recomendaciones al Desempeño'!$B$2:$B$24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'[1]Recomendaciones al Desempeño'!$C$2:$C$24</c:f>
              <c:numCache>
                <c:formatCode>#,##0</c:formatCode>
                <c:ptCount val="23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  <c:pt idx="21">
                  <c:v>319</c:v>
                </c:pt>
                <c:pt idx="22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A-4992-A3BA-DE9B8539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[1]PIIC!$B$1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251628107433089E-16"/>
                  <c:y val="-2.983653787462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57-4717-83AF-6E64EF2D4664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[1]PIIC!$B$2:$B$7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[1]PIIC!$C$2:$C$7</c:f>
              <c:numCache>
                <c:formatCode>#,##0</c:formatCode>
                <c:ptCount val="6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7-4717-83AF-6E64EF2D4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92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[1]PEFCF!$B$1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4998125234345708E-3"/>
                  <c:y val="-2.98021119453091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E4-4110-93FC-D265BC14D79A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[1]PEFCF!$B$2:$B$24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[1]PEFCF!$C$2:$C$24</c:f>
              <c:numCache>
                <c:formatCode>#,##0</c:formatCode>
                <c:ptCount val="23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207</c:v>
                </c:pt>
                <c:pt idx="2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4-4110-93FC-D265BC14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'[1]Solicitud de Aclaración'!$B$1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1251628107433089E-16"/>
                  <c:y val="-3.4427638405664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62-4CFB-85E5-A049156AEECB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'[1]Solicitud de Aclaración'!$B$2:$B$24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'[1]Solicitud de Aclaración'!$C$2:$C$24</c:f>
              <c:numCache>
                <c:formatCode>#,##0</c:formatCode>
                <c:ptCount val="23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408</c:v>
                </c:pt>
                <c:pt idx="2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2-4CFB-85E5-A049156AE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266700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1C1FE-C4E6-407D-8648-7EFA1F853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10</xdr:col>
      <xdr:colOff>38100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D3E1AF-7D42-45B3-92A0-3DCDA75DE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581025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D82400-BA1B-44E2-B80D-EEDFDE0A5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466725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CE36B3-598C-47CA-9D20-FCB8FB20D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798E8D-9274-43F7-9615-229F5BE7F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685800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C3CFA0-F67F-444B-9245-8C65D945C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609600</xdr:colOff>
      <xdr:row>29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D6931-0661-4EE1-9480-895BB323C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585789</xdr:colOff>
      <xdr:row>26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8AEAF9-5507-4490-80F4-E37B44F4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533400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FA1A69-7782-42DC-B66F-EE350DC7E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352425</xdr:colOff>
      <xdr:row>23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32C51F-4294-4E3C-8961-5AECA249A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47625</xdr:colOff>
      <xdr:row>24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2A7BBA-5905-4031-BD08-C06952EE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85725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65FC88-EC7D-4B53-AC53-17C27407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666750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6E57A0-461D-464F-AD50-EB3F6E373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a\AESII\DGICR\DEIA\SIE\Informe%20Estad&#237;stico\Mayo%202026\Gr&#225;ficos%20y%20Tablas%20Mayo%202026%20(version%201).xlsx" TargetMode="External"/><Relationship Id="rId1" Type="http://schemas.openxmlformats.org/officeDocument/2006/relationships/externalLinkPath" Target="Mayo%202026/Gr&#225;ficos%20y%20Tablas%20Mayo%202026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orías"/>
      <sheetName val="Auditorías por sector"/>
      <sheetName val="Resultados"/>
      <sheetName val="Hoja1"/>
      <sheetName val="Acciones"/>
      <sheetName val="Recomendaciones"/>
      <sheetName val="Recomendaciones al Desempeño"/>
      <sheetName val="Hoja2"/>
      <sheetName val="PIIC"/>
      <sheetName val="PEFCF"/>
      <sheetName val="Solicitud de Aclaración"/>
      <sheetName val="Pliegos de Observaciones"/>
      <sheetName val="PRAS"/>
      <sheetName val="FRR"/>
      <sheetName val="DH"/>
    </sheetNames>
    <sheetDataSet>
      <sheetData sheetId="0">
        <row r="1">
          <cell r="B1" t="str">
            <v>Auditorías</v>
          </cell>
          <cell r="C1" t="str">
            <v>PAAF</v>
          </cell>
          <cell r="D1" t="str">
            <v>Título 4o.</v>
          </cell>
          <cell r="E1" t="str">
            <v>Total</v>
          </cell>
        </row>
        <row r="2">
          <cell r="A2">
            <v>2002</v>
          </cell>
          <cell r="B2">
            <v>335</v>
          </cell>
          <cell r="C2">
            <v>335</v>
          </cell>
          <cell r="E2">
            <v>335</v>
          </cell>
        </row>
        <row r="3">
          <cell r="A3">
            <v>2003</v>
          </cell>
          <cell r="B3">
            <v>338</v>
          </cell>
          <cell r="C3">
            <v>338</v>
          </cell>
          <cell r="E3">
            <v>338</v>
          </cell>
          <cell r="G3" t="str">
            <v>Financiera y de Cumplimiento</v>
          </cell>
          <cell r="H3">
            <v>0.62803921568627452</v>
          </cell>
        </row>
        <row r="4">
          <cell r="A4">
            <v>2004</v>
          </cell>
          <cell r="B4">
            <v>424</v>
          </cell>
          <cell r="C4">
            <v>424</v>
          </cell>
          <cell r="E4">
            <v>424</v>
          </cell>
          <cell r="G4" t="str">
            <v>Financiera con Enfoque de Desempeño</v>
          </cell>
          <cell r="H4">
            <v>0.13513071895424836</v>
          </cell>
        </row>
        <row r="5">
          <cell r="A5">
            <v>2005</v>
          </cell>
          <cell r="B5">
            <v>628</v>
          </cell>
          <cell r="C5">
            <v>628</v>
          </cell>
          <cell r="E5">
            <v>628</v>
          </cell>
          <cell r="G5" t="str">
            <v>Cumplimiento a Inversiones Físicas</v>
          </cell>
          <cell r="H5">
            <v>8.7973856209150325E-2</v>
          </cell>
        </row>
        <row r="6">
          <cell r="A6">
            <v>2006</v>
          </cell>
          <cell r="B6">
            <v>754</v>
          </cell>
          <cell r="C6">
            <v>754</v>
          </cell>
          <cell r="E6">
            <v>754</v>
          </cell>
          <cell r="G6" t="str">
            <v>Desempeño</v>
          </cell>
          <cell r="H6">
            <v>8.2418300653594775E-2</v>
          </cell>
        </row>
        <row r="7">
          <cell r="A7">
            <v>2007</v>
          </cell>
          <cell r="B7">
            <v>962</v>
          </cell>
          <cell r="C7">
            <v>962</v>
          </cell>
          <cell r="E7">
            <v>962</v>
          </cell>
          <cell r="G7" t="str">
            <v>Otras</v>
          </cell>
          <cell r="H7">
            <v>5.8660130718954248E-2</v>
          </cell>
        </row>
        <row r="8">
          <cell r="A8">
            <v>2008</v>
          </cell>
          <cell r="B8">
            <v>987</v>
          </cell>
          <cell r="C8">
            <v>987</v>
          </cell>
          <cell r="E8">
            <v>987</v>
          </cell>
          <cell r="G8" t="str">
            <v>De Cumplimiento Forense</v>
          </cell>
          <cell r="H8">
            <v>7.7777777777777776E-3</v>
          </cell>
        </row>
        <row r="9">
          <cell r="A9">
            <v>2009</v>
          </cell>
          <cell r="B9">
            <v>945</v>
          </cell>
          <cell r="C9">
            <v>939</v>
          </cell>
          <cell r="E9">
            <v>945</v>
          </cell>
        </row>
        <row r="10">
          <cell r="A10">
            <v>2010</v>
          </cell>
          <cell r="B10">
            <v>1031</v>
          </cell>
          <cell r="C10">
            <v>1029</v>
          </cell>
          <cell r="E10">
            <v>1031</v>
          </cell>
        </row>
        <row r="11">
          <cell r="A11">
            <v>2011</v>
          </cell>
          <cell r="B11">
            <v>1111</v>
          </cell>
          <cell r="C11">
            <v>1111</v>
          </cell>
          <cell r="E11">
            <v>1111</v>
          </cell>
        </row>
        <row r="12">
          <cell r="A12">
            <v>2012</v>
          </cell>
          <cell r="B12">
            <v>1174</v>
          </cell>
          <cell r="C12">
            <v>1173</v>
          </cell>
          <cell r="D12">
            <v>1</v>
          </cell>
          <cell r="E12">
            <v>1174</v>
          </cell>
        </row>
        <row r="13">
          <cell r="A13">
            <v>2013</v>
          </cell>
          <cell r="B13">
            <v>1413</v>
          </cell>
          <cell r="C13">
            <v>1413</v>
          </cell>
          <cell r="E13">
            <v>1413</v>
          </cell>
        </row>
        <row r="14">
          <cell r="A14">
            <v>2014</v>
          </cell>
          <cell r="B14">
            <v>1665</v>
          </cell>
          <cell r="C14">
            <v>1663</v>
          </cell>
          <cell r="D14">
            <v>2</v>
          </cell>
          <cell r="E14">
            <v>1665</v>
          </cell>
        </row>
        <row r="15">
          <cell r="A15">
            <v>2015</v>
          </cell>
          <cell r="B15">
            <v>1655</v>
          </cell>
          <cell r="C15">
            <v>1643</v>
          </cell>
          <cell r="D15">
            <v>12</v>
          </cell>
          <cell r="E15">
            <v>1655</v>
          </cell>
        </row>
        <row r="16">
          <cell r="A16">
            <v>2016</v>
          </cell>
          <cell r="B16">
            <v>1873</v>
          </cell>
          <cell r="C16">
            <v>1865</v>
          </cell>
          <cell r="D16">
            <v>8</v>
          </cell>
          <cell r="E16">
            <v>1873</v>
          </cell>
        </row>
        <row r="17">
          <cell r="A17">
            <v>2017</v>
          </cell>
          <cell r="B17">
            <v>1676</v>
          </cell>
          <cell r="C17">
            <v>1675</v>
          </cell>
          <cell r="D17">
            <v>1</v>
          </cell>
          <cell r="E17">
            <v>1676</v>
          </cell>
        </row>
        <row r="18">
          <cell r="A18">
            <v>2018</v>
          </cell>
          <cell r="B18">
            <v>1814</v>
          </cell>
          <cell r="C18">
            <v>1808</v>
          </cell>
          <cell r="D18">
            <v>6</v>
          </cell>
          <cell r="E18">
            <v>1814</v>
          </cell>
        </row>
        <row r="19">
          <cell r="A19">
            <v>2019</v>
          </cell>
          <cell r="B19">
            <v>1361</v>
          </cell>
          <cell r="C19">
            <v>1358</v>
          </cell>
          <cell r="D19">
            <v>3</v>
          </cell>
          <cell r="E19">
            <v>1361</v>
          </cell>
        </row>
        <row r="20">
          <cell r="A20">
            <v>2020</v>
          </cell>
          <cell r="B20">
            <v>1617</v>
          </cell>
          <cell r="C20">
            <v>1616</v>
          </cell>
          <cell r="D20">
            <v>1</v>
          </cell>
          <cell r="E20">
            <v>1617</v>
          </cell>
        </row>
        <row r="21">
          <cell r="A21">
            <v>2021</v>
          </cell>
          <cell r="B21">
            <v>2051</v>
          </cell>
          <cell r="C21">
            <v>2050</v>
          </cell>
          <cell r="D21">
            <v>1</v>
          </cell>
          <cell r="E21">
            <v>2051</v>
          </cell>
        </row>
        <row r="22">
          <cell r="A22">
            <v>2022</v>
          </cell>
          <cell r="B22">
            <v>2153</v>
          </cell>
          <cell r="C22">
            <v>2153</v>
          </cell>
          <cell r="E22">
            <v>2153</v>
          </cell>
        </row>
        <row r="23">
          <cell r="A23">
            <v>2023</v>
          </cell>
          <cell r="B23">
            <v>2369</v>
          </cell>
          <cell r="C23">
            <v>2369</v>
          </cell>
          <cell r="E23">
            <v>2369</v>
          </cell>
        </row>
        <row r="24">
          <cell r="A24" t="str">
            <v>2024</v>
          </cell>
          <cell r="B24">
            <v>2264</v>
          </cell>
          <cell r="C24">
            <v>152</v>
          </cell>
          <cell r="E24">
            <v>2264</v>
          </cell>
        </row>
      </sheetData>
      <sheetData sheetId="1"/>
      <sheetData sheetId="2">
        <row r="4">
          <cell r="M4" t="str">
            <v>2003</v>
          </cell>
          <cell r="N4" t="str">
            <v>2004</v>
          </cell>
          <cell r="O4" t="str">
            <v>2005</v>
          </cell>
          <cell r="P4" t="str">
            <v>2006</v>
          </cell>
          <cell r="Q4" t="str">
            <v>2007</v>
          </cell>
          <cell r="R4" t="str">
            <v>2008</v>
          </cell>
          <cell r="S4" t="str">
            <v>2009</v>
          </cell>
          <cell r="T4" t="str">
            <v>2010</v>
          </cell>
          <cell r="U4" t="str">
            <v>2011</v>
          </cell>
          <cell r="V4" t="str">
            <v>2012</v>
          </cell>
          <cell r="W4" t="str">
            <v>2013</v>
          </cell>
          <cell r="X4" t="str">
            <v>2014</v>
          </cell>
          <cell r="Y4" t="str">
            <v>2015</v>
          </cell>
          <cell r="Z4" t="str">
            <v>2016</v>
          </cell>
          <cell r="AA4" t="str">
            <v>2017</v>
          </cell>
          <cell r="AB4" t="str">
            <v>2018</v>
          </cell>
          <cell r="AC4" t="str">
            <v>2019</v>
          </cell>
          <cell r="AD4" t="str">
            <v>2020</v>
          </cell>
          <cell r="AE4" t="str">
            <v>2021</v>
          </cell>
          <cell r="AF4" t="str">
            <v>2022</v>
          </cell>
          <cell r="AG4" t="str">
            <v>2023</v>
          </cell>
          <cell r="AH4" t="str">
            <v>2024</v>
          </cell>
        </row>
        <row r="5">
          <cell r="L5">
            <v>2584</v>
          </cell>
          <cell r="M5">
            <v>2644</v>
          </cell>
          <cell r="N5">
            <v>3424</v>
          </cell>
          <cell r="O5">
            <v>4519</v>
          </cell>
          <cell r="P5">
            <v>7182</v>
          </cell>
          <cell r="Q5">
            <v>9553</v>
          </cell>
          <cell r="R5">
            <v>7746</v>
          </cell>
          <cell r="S5">
            <v>19196</v>
          </cell>
          <cell r="T5">
            <v>23343</v>
          </cell>
          <cell r="U5">
            <v>22390</v>
          </cell>
          <cell r="V5">
            <v>22964</v>
          </cell>
          <cell r="W5">
            <v>23581</v>
          </cell>
          <cell r="X5">
            <v>26280</v>
          </cell>
          <cell r="Y5">
            <v>26330</v>
          </cell>
          <cell r="Z5">
            <v>26799</v>
          </cell>
          <cell r="AA5">
            <v>26154</v>
          </cell>
          <cell r="AB5">
            <v>28070</v>
          </cell>
          <cell r="AC5">
            <v>21181</v>
          </cell>
          <cell r="AD5">
            <v>24288</v>
          </cell>
          <cell r="AE5">
            <v>26802</v>
          </cell>
          <cell r="AF5">
            <v>25605</v>
          </cell>
          <cell r="AG5">
            <v>24603</v>
          </cell>
          <cell r="AH5">
            <v>22267</v>
          </cell>
        </row>
        <row r="6">
          <cell r="L6">
            <v>2505</v>
          </cell>
          <cell r="M6">
            <v>2295</v>
          </cell>
          <cell r="N6">
            <v>3064</v>
          </cell>
          <cell r="O6">
            <v>4269</v>
          </cell>
          <cell r="P6">
            <v>6684</v>
          </cell>
          <cell r="Q6">
            <v>7620</v>
          </cell>
          <cell r="R6">
            <v>6296</v>
          </cell>
          <cell r="S6">
            <v>5909</v>
          </cell>
          <cell r="T6">
            <v>6935</v>
          </cell>
          <cell r="U6">
            <v>6369</v>
          </cell>
          <cell r="V6">
            <v>6564</v>
          </cell>
          <cell r="W6">
            <v>6902</v>
          </cell>
          <cell r="X6">
            <v>3366</v>
          </cell>
          <cell r="Y6">
            <v>3979</v>
          </cell>
          <cell r="Z6">
            <v>4453</v>
          </cell>
          <cell r="AA6">
            <v>4446</v>
          </cell>
          <cell r="AB6">
            <v>5013</v>
          </cell>
          <cell r="AC6">
            <v>3763</v>
          </cell>
          <cell r="AD6">
            <v>2444</v>
          </cell>
          <cell r="AE6">
            <v>2317</v>
          </cell>
          <cell r="AF6">
            <v>1836</v>
          </cell>
          <cell r="AG6">
            <v>1385</v>
          </cell>
          <cell r="AH6">
            <v>857</v>
          </cell>
        </row>
        <row r="7">
          <cell r="L7">
            <v>1407</v>
          </cell>
          <cell r="M7">
            <v>1589</v>
          </cell>
          <cell r="N7">
            <v>1071</v>
          </cell>
          <cell r="O7">
            <v>1067</v>
          </cell>
          <cell r="P7">
            <v>1826</v>
          </cell>
          <cell r="Q7">
            <v>3564</v>
          </cell>
          <cell r="R7">
            <v>2738</v>
          </cell>
          <cell r="S7">
            <v>3056</v>
          </cell>
          <cell r="T7">
            <v>4201</v>
          </cell>
          <cell r="U7">
            <v>3791</v>
          </cell>
          <cell r="V7">
            <v>4882</v>
          </cell>
          <cell r="W7">
            <v>4867</v>
          </cell>
          <cell r="X7">
            <v>6443</v>
          </cell>
          <cell r="Y7">
            <v>7026</v>
          </cell>
          <cell r="Z7">
            <v>6210</v>
          </cell>
          <cell r="AA7">
            <v>5197</v>
          </cell>
          <cell r="AB7">
            <v>5372</v>
          </cell>
          <cell r="AC7">
            <v>3525</v>
          </cell>
          <cell r="AD7">
            <v>3144</v>
          </cell>
          <cell r="AE7">
            <v>3329</v>
          </cell>
          <cell r="AF7">
            <v>3713</v>
          </cell>
          <cell r="AG7">
            <v>5717</v>
          </cell>
          <cell r="AH7">
            <v>5417</v>
          </cell>
        </row>
      </sheetData>
      <sheetData sheetId="3"/>
      <sheetData sheetId="4">
        <row r="4">
          <cell r="C4" t="str">
            <v>CUENTA PÚBLICA</v>
          </cell>
        </row>
        <row r="5">
          <cell r="C5" t="str">
            <v>2002</v>
          </cell>
          <cell r="D5" t="str">
            <v>2003</v>
          </cell>
          <cell r="E5" t="str">
            <v>2004</v>
          </cell>
          <cell r="F5" t="str">
            <v>2005</v>
          </cell>
          <cell r="G5" t="str">
            <v>2006</v>
          </cell>
          <cell r="H5" t="str">
            <v>2007</v>
          </cell>
          <cell r="I5" t="str">
            <v>2008</v>
          </cell>
          <cell r="J5" t="str">
            <v>2009</v>
          </cell>
          <cell r="K5" t="str">
            <v>2010</v>
          </cell>
          <cell r="L5" t="str">
            <v>2011</v>
          </cell>
          <cell r="M5" t="str">
            <v>2012</v>
          </cell>
          <cell r="N5" t="str">
            <v>2013</v>
          </cell>
          <cell r="O5" t="str">
            <v>2014</v>
          </cell>
          <cell r="P5" t="str">
            <v>2015</v>
          </cell>
          <cell r="Q5" t="str">
            <v>2016</v>
          </cell>
          <cell r="R5" t="str">
            <v>2017</v>
          </cell>
          <cell r="S5" t="str">
            <v>2018</v>
          </cell>
          <cell r="T5" t="str">
            <v>2019</v>
          </cell>
          <cell r="U5" t="str">
            <v>2020</v>
          </cell>
          <cell r="V5" t="str">
            <v>2021</v>
          </cell>
          <cell r="W5" t="str">
            <v>2022</v>
          </cell>
          <cell r="X5" t="str">
            <v>2023</v>
          </cell>
        </row>
        <row r="6">
          <cell r="B6" t="str">
            <v>R</v>
          </cell>
          <cell r="C6">
            <v>2227</v>
          </cell>
          <cell r="D6">
            <v>1957</v>
          </cell>
          <cell r="E6">
            <v>2554</v>
          </cell>
          <cell r="F6">
            <v>3810</v>
          </cell>
          <cell r="G6">
            <v>6078</v>
          </cell>
          <cell r="H6">
            <v>6176</v>
          </cell>
          <cell r="I6">
            <v>5105</v>
          </cell>
          <cell r="J6">
            <v>4568</v>
          </cell>
          <cell r="K6">
            <v>5734</v>
          </cell>
          <cell r="L6">
            <v>5312</v>
          </cell>
          <cell r="M6">
            <v>5215</v>
          </cell>
          <cell r="N6">
            <v>5299</v>
          </cell>
          <cell r="O6">
            <v>2234</v>
          </cell>
          <cell r="P6">
            <v>2772</v>
          </cell>
          <cell r="Q6">
            <v>3278</v>
          </cell>
          <cell r="R6">
            <v>2415</v>
          </cell>
          <cell r="S6">
            <v>2225</v>
          </cell>
          <cell r="T6">
            <v>1737</v>
          </cell>
          <cell r="U6">
            <v>1598</v>
          </cell>
          <cell r="V6">
            <v>1801</v>
          </cell>
          <cell r="W6">
            <v>1280</v>
          </cell>
          <cell r="X6">
            <v>1066</v>
          </cell>
        </row>
        <row r="7">
          <cell r="B7" t="str">
            <v>PRAS</v>
          </cell>
          <cell r="C7">
            <v>7</v>
          </cell>
          <cell r="D7">
            <v>40</v>
          </cell>
          <cell r="E7">
            <v>349</v>
          </cell>
          <cell r="F7">
            <v>461</v>
          </cell>
          <cell r="G7">
            <v>563</v>
          </cell>
          <cell r="H7">
            <v>1631</v>
          </cell>
          <cell r="I7">
            <v>1116</v>
          </cell>
          <cell r="J7">
            <v>1385</v>
          </cell>
          <cell r="K7">
            <v>1911</v>
          </cell>
          <cell r="L7">
            <v>1652</v>
          </cell>
          <cell r="M7">
            <v>1819</v>
          </cell>
          <cell r="N7">
            <v>1361</v>
          </cell>
          <cell r="O7">
            <v>2134</v>
          </cell>
          <cell r="P7">
            <v>2715</v>
          </cell>
          <cell r="Q7">
            <v>2560</v>
          </cell>
          <cell r="R7">
            <v>2792</v>
          </cell>
          <cell r="S7">
            <v>2462</v>
          </cell>
          <cell r="T7">
            <v>1587</v>
          </cell>
          <cell r="U7">
            <v>1484</v>
          </cell>
          <cell r="V7">
            <v>1564</v>
          </cell>
          <cell r="W7">
            <v>1730</v>
          </cell>
          <cell r="X7">
            <v>2508</v>
          </cell>
        </row>
        <row r="8">
          <cell r="B8" t="str">
            <v>PO</v>
          </cell>
          <cell r="C8">
            <v>102</v>
          </cell>
          <cell r="D8">
            <v>192</v>
          </cell>
          <cell r="E8">
            <v>332</v>
          </cell>
          <cell r="F8">
            <v>285</v>
          </cell>
          <cell r="G8">
            <v>360</v>
          </cell>
          <cell r="H8">
            <v>1174</v>
          </cell>
          <cell r="I8">
            <v>1109</v>
          </cell>
          <cell r="J8">
            <v>996</v>
          </cell>
          <cell r="K8">
            <v>1337</v>
          </cell>
          <cell r="L8">
            <v>1239</v>
          </cell>
          <cell r="M8">
            <v>1910</v>
          </cell>
          <cell r="N8">
            <v>2033</v>
          </cell>
          <cell r="O8">
            <v>2226</v>
          </cell>
          <cell r="P8">
            <v>2782</v>
          </cell>
          <cell r="Q8">
            <v>2810</v>
          </cell>
          <cell r="R8">
            <v>2058</v>
          </cell>
          <cell r="S8">
            <v>2557</v>
          </cell>
          <cell r="T8">
            <v>1628</v>
          </cell>
          <cell r="U8">
            <v>1333</v>
          </cell>
          <cell r="V8">
            <v>1469</v>
          </cell>
          <cell r="W8">
            <v>1696</v>
          </cell>
          <cell r="X8">
            <v>2594</v>
          </cell>
        </row>
        <row r="9">
          <cell r="B9" t="str">
            <v>RD</v>
          </cell>
          <cell r="C9">
            <v>278</v>
          </cell>
          <cell r="D9">
            <v>338</v>
          </cell>
          <cell r="E9">
            <v>510</v>
          </cell>
          <cell r="F9">
            <v>459</v>
          </cell>
          <cell r="G9">
            <v>606</v>
          </cell>
          <cell r="H9">
            <v>1444</v>
          </cell>
          <cell r="I9">
            <v>1191</v>
          </cell>
          <cell r="J9">
            <v>1341</v>
          </cell>
          <cell r="K9">
            <v>1201</v>
          </cell>
          <cell r="L9">
            <v>1057</v>
          </cell>
          <cell r="M9">
            <v>1349</v>
          </cell>
          <cell r="N9">
            <v>1603</v>
          </cell>
          <cell r="O9">
            <v>1132</v>
          </cell>
          <cell r="P9">
            <v>1207</v>
          </cell>
          <cell r="Q9">
            <v>1175</v>
          </cell>
          <cell r="R9">
            <v>2031</v>
          </cell>
          <cell r="S9">
            <v>2788</v>
          </cell>
          <cell r="T9">
            <v>2026</v>
          </cell>
          <cell r="U9">
            <v>846</v>
          </cell>
          <cell r="V9">
            <v>516</v>
          </cell>
          <cell r="W9">
            <v>556</v>
          </cell>
          <cell r="X9">
            <v>319</v>
          </cell>
        </row>
        <row r="10">
          <cell r="B10" t="str">
            <v>SA</v>
          </cell>
          <cell r="C10">
            <v>336</v>
          </cell>
          <cell r="D10">
            <v>540</v>
          </cell>
          <cell r="E10">
            <v>221</v>
          </cell>
          <cell r="F10">
            <v>144</v>
          </cell>
          <cell r="G10">
            <v>357</v>
          </cell>
          <cell r="H10">
            <v>384</v>
          </cell>
          <cell r="I10">
            <v>211</v>
          </cell>
          <cell r="J10">
            <v>382</v>
          </cell>
          <cell r="K10">
            <v>439</v>
          </cell>
          <cell r="L10">
            <v>409</v>
          </cell>
          <cell r="M10">
            <v>591</v>
          </cell>
          <cell r="N10">
            <v>783</v>
          </cell>
          <cell r="O10">
            <v>1208</v>
          </cell>
          <cell r="P10">
            <v>377</v>
          </cell>
          <cell r="Q10">
            <v>643</v>
          </cell>
          <cell r="R10">
            <v>204</v>
          </cell>
          <cell r="S10">
            <v>147</v>
          </cell>
          <cell r="T10">
            <v>194</v>
          </cell>
          <cell r="U10">
            <v>204</v>
          </cell>
          <cell r="V10">
            <v>181</v>
          </cell>
          <cell r="W10">
            <v>111</v>
          </cell>
          <cell r="X10">
            <v>408</v>
          </cell>
        </row>
        <row r="11">
          <cell r="B11" t="str">
            <v>FRR</v>
          </cell>
          <cell r="C11">
            <v>14</v>
          </cell>
          <cell r="D11">
            <v>34</v>
          </cell>
          <cell r="E11">
            <v>70</v>
          </cell>
          <cell r="F11">
            <v>62</v>
          </cell>
          <cell r="G11">
            <v>85</v>
          </cell>
          <cell r="H11">
            <v>286</v>
          </cell>
          <cell r="I11">
            <v>226</v>
          </cell>
          <cell r="J11">
            <v>226</v>
          </cell>
          <cell r="K11">
            <v>414</v>
          </cell>
          <cell r="L11">
            <v>381</v>
          </cell>
          <cell r="M11">
            <v>476</v>
          </cell>
          <cell r="N11">
            <v>633</v>
          </cell>
          <cell r="O11">
            <v>799</v>
          </cell>
          <cell r="P11">
            <v>1077</v>
          </cell>
          <cell r="Q11">
            <v>1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</row>
        <row r="12">
          <cell r="B12" t="str">
            <v>PEFCF</v>
          </cell>
          <cell r="C12">
            <v>20</v>
          </cell>
          <cell r="D12">
            <v>19</v>
          </cell>
          <cell r="E12">
            <v>19</v>
          </cell>
          <cell r="F12">
            <v>15</v>
          </cell>
          <cell r="G12">
            <v>27</v>
          </cell>
          <cell r="H12">
            <v>77</v>
          </cell>
          <cell r="I12">
            <v>76</v>
          </cell>
          <cell r="J12">
            <v>67</v>
          </cell>
          <cell r="K12">
            <v>100</v>
          </cell>
          <cell r="L12">
            <v>110</v>
          </cell>
          <cell r="M12">
            <v>86</v>
          </cell>
          <cell r="N12">
            <v>57</v>
          </cell>
          <cell r="O12">
            <v>76</v>
          </cell>
          <cell r="P12">
            <v>75</v>
          </cell>
          <cell r="Q12">
            <v>196</v>
          </cell>
          <cell r="R12">
            <v>143</v>
          </cell>
          <cell r="S12">
            <v>206</v>
          </cell>
          <cell r="T12">
            <v>116</v>
          </cell>
          <cell r="U12">
            <v>123</v>
          </cell>
          <cell r="V12">
            <v>115</v>
          </cell>
          <cell r="W12">
            <v>176</v>
          </cell>
          <cell r="X12">
            <v>207</v>
          </cell>
        </row>
        <row r="13">
          <cell r="B13" t="str">
            <v>DH</v>
          </cell>
          <cell r="C13" t="str">
            <v>-</v>
          </cell>
          <cell r="D13">
            <v>1</v>
          </cell>
          <cell r="E13">
            <v>4</v>
          </cell>
          <cell r="F13">
            <v>3</v>
          </cell>
          <cell r="G13">
            <v>4</v>
          </cell>
          <cell r="H13">
            <v>2</v>
          </cell>
          <cell r="I13">
            <v>35</v>
          </cell>
          <cell r="J13">
            <v>112</v>
          </cell>
          <cell r="K13">
            <v>160</v>
          </cell>
          <cell r="L13">
            <v>164</v>
          </cell>
          <cell r="M13">
            <v>221</v>
          </cell>
          <cell r="N13">
            <v>103</v>
          </cell>
          <cell r="O13">
            <v>94</v>
          </cell>
          <cell r="P13">
            <v>62</v>
          </cell>
          <cell r="Q13">
            <v>48</v>
          </cell>
          <cell r="R13">
            <v>91</v>
          </cell>
          <cell r="S13">
            <v>43</v>
          </cell>
          <cell r="T13">
            <v>9</v>
          </cell>
          <cell r="U13">
            <v>17</v>
          </cell>
          <cell r="V13">
            <v>2</v>
          </cell>
          <cell r="W13">
            <v>4</v>
          </cell>
          <cell r="X13" t="str">
            <v>-</v>
          </cell>
        </row>
        <row r="14">
          <cell r="B14" t="str">
            <v>PIIC</v>
          </cell>
          <cell r="C14">
            <v>464</v>
          </cell>
          <cell r="D14">
            <v>382</v>
          </cell>
          <cell r="E14">
            <v>40</v>
          </cell>
          <cell r="F14">
            <v>50</v>
          </cell>
          <cell r="G14">
            <v>217</v>
          </cell>
          <cell r="H14">
            <v>6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</row>
      </sheetData>
      <sheetData sheetId="5">
        <row r="1">
          <cell r="B1" t="str">
            <v>Cuenta Pública</v>
          </cell>
        </row>
        <row r="2">
          <cell r="B2">
            <v>2002</v>
          </cell>
          <cell r="C2">
            <v>2227</v>
          </cell>
        </row>
        <row r="3">
          <cell r="B3">
            <v>2003</v>
          </cell>
          <cell r="C3">
            <v>1957</v>
          </cell>
        </row>
        <row r="4">
          <cell r="B4">
            <v>2004</v>
          </cell>
          <cell r="C4">
            <v>2554</v>
          </cell>
        </row>
        <row r="5">
          <cell r="B5">
            <v>2005</v>
          </cell>
          <cell r="C5">
            <v>3810</v>
          </cell>
        </row>
        <row r="6">
          <cell r="B6">
            <v>2006</v>
          </cell>
          <cell r="C6">
            <v>6078</v>
          </cell>
        </row>
        <row r="7">
          <cell r="B7">
            <v>2007</v>
          </cell>
          <cell r="C7">
            <v>6176</v>
          </cell>
        </row>
        <row r="8">
          <cell r="B8">
            <v>2008</v>
          </cell>
          <cell r="C8">
            <v>5105</v>
          </cell>
        </row>
        <row r="9">
          <cell r="B9">
            <v>2009</v>
          </cell>
          <cell r="C9">
            <v>4568</v>
          </cell>
        </row>
        <row r="10">
          <cell r="B10">
            <v>2010</v>
          </cell>
          <cell r="C10">
            <v>5734</v>
          </cell>
        </row>
        <row r="11">
          <cell r="B11">
            <v>2011</v>
          </cell>
          <cell r="C11">
            <v>5312</v>
          </cell>
        </row>
        <row r="12">
          <cell r="B12">
            <v>2012</v>
          </cell>
          <cell r="C12">
            <v>5215</v>
          </cell>
        </row>
        <row r="13">
          <cell r="B13">
            <v>2013</v>
          </cell>
          <cell r="C13">
            <v>5299</v>
          </cell>
        </row>
        <row r="14">
          <cell r="B14">
            <v>2014</v>
          </cell>
          <cell r="C14">
            <v>2234</v>
          </cell>
        </row>
        <row r="15">
          <cell r="B15">
            <v>2015</v>
          </cell>
          <cell r="C15">
            <v>2772</v>
          </cell>
        </row>
        <row r="16">
          <cell r="B16">
            <v>2016</v>
          </cell>
          <cell r="C16">
            <v>3278</v>
          </cell>
        </row>
        <row r="17">
          <cell r="B17">
            <v>2017</v>
          </cell>
          <cell r="C17">
            <v>2415</v>
          </cell>
        </row>
        <row r="18">
          <cell r="B18">
            <v>2018</v>
          </cell>
          <cell r="C18">
            <v>2225</v>
          </cell>
        </row>
        <row r="19">
          <cell r="B19">
            <v>2019</v>
          </cell>
          <cell r="C19">
            <v>1737</v>
          </cell>
        </row>
        <row r="20">
          <cell r="B20">
            <v>2020</v>
          </cell>
          <cell r="C20">
            <v>1598</v>
          </cell>
        </row>
        <row r="21">
          <cell r="B21">
            <v>2021</v>
          </cell>
          <cell r="C21">
            <v>1801</v>
          </cell>
        </row>
        <row r="22">
          <cell r="B22">
            <v>2022</v>
          </cell>
          <cell r="C22">
            <v>1280</v>
          </cell>
        </row>
        <row r="23">
          <cell r="B23">
            <v>2023</v>
          </cell>
          <cell r="C23">
            <v>1066</v>
          </cell>
        </row>
        <row r="24">
          <cell r="B24">
            <v>2024</v>
          </cell>
          <cell r="C24">
            <v>570</v>
          </cell>
        </row>
      </sheetData>
      <sheetData sheetId="6">
        <row r="1">
          <cell r="B1" t="str">
            <v>Cuenta Pública</v>
          </cell>
        </row>
        <row r="2">
          <cell r="B2">
            <v>2002</v>
          </cell>
          <cell r="C2">
            <v>278</v>
          </cell>
        </row>
        <row r="3">
          <cell r="B3">
            <v>2003</v>
          </cell>
          <cell r="C3">
            <v>338</v>
          </cell>
        </row>
        <row r="4">
          <cell r="B4">
            <v>2004</v>
          </cell>
          <cell r="C4">
            <v>510</v>
          </cell>
        </row>
        <row r="5">
          <cell r="B5">
            <v>2005</v>
          </cell>
          <cell r="C5">
            <v>459</v>
          </cell>
        </row>
        <row r="6">
          <cell r="B6">
            <v>2006</v>
          </cell>
          <cell r="C6">
            <v>606</v>
          </cell>
        </row>
        <row r="7">
          <cell r="B7">
            <v>2007</v>
          </cell>
          <cell r="C7">
            <v>1444</v>
          </cell>
        </row>
        <row r="8">
          <cell r="B8">
            <v>2008</v>
          </cell>
          <cell r="C8">
            <v>1191</v>
          </cell>
        </row>
        <row r="9">
          <cell r="B9">
            <v>2009</v>
          </cell>
          <cell r="C9">
            <v>1341</v>
          </cell>
        </row>
        <row r="10">
          <cell r="B10">
            <v>2010</v>
          </cell>
          <cell r="C10">
            <v>1201</v>
          </cell>
        </row>
        <row r="11">
          <cell r="B11">
            <v>2011</v>
          </cell>
          <cell r="C11">
            <v>1057</v>
          </cell>
        </row>
        <row r="12">
          <cell r="B12">
            <v>2012</v>
          </cell>
          <cell r="C12">
            <v>1349</v>
          </cell>
        </row>
        <row r="13">
          <cell r="B13">
            <v>2013</v>
          </cell>
          <cell r="C13">
            <v>1603</v>
          </cell>
        </row>
        <row r="14">
          <cell r="B14">
            <v>2014</v>
          </cell>
          <cell r="C14">
            <v>1132</v>
          </cell>
        </row>
        <row r="15">
          <cell r="B15">
            <v>2015</v>
          </cell>
          <cell r="C15">
            <v>1207</v>
          </cell>
        </row>
        <row r="16">
          <cell r="B16">
            <v>2016</v>
          </cell>
          <cell r="C16">
            <v>1175</v>
          </cell>
        </row>
        <row r="17">
          <cell r="B17">
            <v>2017</v>
          </cell>
          <cell r="C17">
            <v>2031</v>
          </cell>
        </row>
        <row r="18">
          <cell r="B18">
            <v>2018</v>
          </cell>
          <cell r="C18">
            <v>2788</v>
          </cell>
        </row>
        <row r="19">
          <cell r="B19">
            <v>2019</v>
          </cell>
          <cell r="C19">
            <v>2026</v>
          </cell>
        </row>
        <row r="20">
          <cell r="B20">
            <v>2020</v>
          </cell>
          <cell r="C20">
            <v>846</v>
          </cell>
        </row>
        <row r="21">
          <cell r="B21">
            <v>2021</v>
          </cell>
          <cell r="C21">
            <v>516</v>
          </cell>
        </row>
        <row r="22">
          <cell r="B22">
            <v>2022</v>
          </cell>
          <cell r="C22">
            <v>556</v>
          </cell>
        </row>
        <row r="23">
          <cell r="B23">
            <v>2023</v>
          </cell>
          <cell r="C23">
            <v>319</v>
          </cell>
        </row>
        <row r="24">
          <cell r="B24">
            <v>2024</v>
          </cell>
          <cell r="C24">
            <v>287</v>
          </cell>
        </row>
      </sheetData>
      <sheetData sheetId="7"/>
      <sheetData sheetId="8">
        <row r="1">
          <cell r="B1" t="str">
            <v>Cuenta Pública</v>
          </cell>
        </row>
        <row r="2">
          <cell r="B2">
            <v>2002</v>
          </cell>
          <cell r="C2">
            <v>464</v>
          </cell>
        </row>
        <row r="3">
          <cell r="B3">
            <v>2003</v>
          </cell>
          <cell r="C3">
            <v>382</v>
          </cell>
        </row>
        <row r="4">
          <cell r="B4">
            <v>2004</v>
          </cell>
          <cell r="C4">
            <v>40</v>
          </cell>
        </row>
        <row r="5">
          <cell r="B5">
            <v>2005</v>
          </cell>
          <cell r="C5">
            <v>50</v>
          </cell>
        </row>
        <row r="6">
          <cell r="B6">
            <v>2006</v>
          </cell>
          <cell r="C6">
            <v>217</v>
          </cell>
        </row>
        <row r="7">
          <cell r="B7">
            <v>2007</v>
          </cell>
          <cell r="C7">
            <v>6</v>
          </cell>
        </row>
      </sheetData>
      <sheetData sheetId="9">
        <row r="1">
          <cell r="B1" t="str">
            <v>Cuenta Pública</v>
          </cell>
        </row>
        <row r="2">
          <cell r="B2">
            <v>2002</v>
          </cell>
          <cell r="C2">
            <v>20</v>
          </cell>
        </row>
        <row r="3">
          <cell r="B3">
            <v>2003</v>
          </cell>
          <cell r="C3">
            <v>19</v>
          </cell>
        </row>
        <row r="4">
          <cell r="B4">
            <v>2004</v>
          </cell>
          <cell r="C4">
            <v>19</v>
          </cell>
        </row>
        <row r="5">
          <cell r="B5">
            <v>2005</v>
          </cell>
          <cell r="C5">
            <v>15</v>
          </cell>
        </row>
        <row r="6">
          <cell r="B6">
            <v>2006</v>
          </cell>
          <cell r="C6">
            <v>27</v>
          </cell>
        </row>
        <row r="7">
          <cell r="B7">
            <v>2007</v>
          </cell>
          <cell r="C7">
            <v>77</v>
          </cell>
        </row>
        <row r="8">
          <cell r="B8">
            <v>2008</v>
          </cell>
          <cell r="C8">
            <v>76</v>
          </cell>
        </row>
        <row r="9">
          <cell r="B9">
            <v>2009</v>
          </cell>
          <cell r="C9">
            <v>67</v>
          </cell>
        </row>
        <row r="10">
          <cell r="B10">
            <v>2010</v>
          </cell>
          <cell r="C10">
            <v>100</v>
          </cell>
        </row>
        <row r="11">
          <cell r="B11">
            <v>2011</v>
          </cell>
          <cell r="C11">
            <v>110</v>
          </cell>
        </row>
        <row r="12">
          <cell r="B12">
            <v>2012</v>
          </cell>
          <cell r="C12">
            <v>86</v>
          </cell>
        </row>
        <row r="13">
          <cell r="B13">
            <v>2013</v>
          </cell>
          <cell r="C13">
            <v>57</v>
          </cell>
        </row>
        <row r="14">
          <cell r="B14">
            <v>2014</v>
          </cell>
          <cell r="C14">
            <v>76</v>
          </cell>
        </row>
        <row r="15">
          <cell r="B15">
            <v>2015</v>
          </cell>
          <cell r="C15">
            <v>75</v>
          </cell>
        </row>
        <row r="16">
          <cell r="B16">
            <v>2016</v>
          </cell>
          <cell r="C16">
            <v>196</v>
          </cell>
        </row>
        <row r="17">
          <cell r="B17">
            <v>2017</v>
          </cell>
          <cell r="C17">
            <v>143</v>
          </cell>
        </row>
        <row r="18">
          <cell r="B18">
            <v>2018</v>
          </cell>
          <cell r="C18">
            <v>206</v>
          </cell>
        </row>
        <row r="19">
          <cell r="B19">
            <v>2019</v>
          </cell>
          <cell r="C19">
            <v>116</v>
          </cell>
        </row>
        <row r="20">
          <cell r="B20">
            <v>2020</v>
          </cell>
          <cell r="C20">
            <v>123</v>
          </cell>
        </row>
        <row r="21">
          <cell r="B21">
            <v>2021</v>
          </cell>
          <cell r="C21">
            <v>115</v>
          </cell>
        </row>
        <row r="22">
          <cell r="B22">
            <v>2022</v>
          </cell>
          <cell r="C22">
            <v>176</v>
          </cell>
        </row>
        <row r="23">
          <cell r="B23">
            <v>2023</v>
          </cell>
          <cell r="C23">
            <v>207</v>
          </cell>
        </row>
        <row r="24">
          <cell r="B24">
            <v>2024</v>
          </cell>
          <cell r="C24">
            <v>278</v>
          </cell>
        </row>
      </sheetData>
      <sheetData sheetId="10">
        <row r="1">
          <cell r="B1" t="str">
            <v>Cuenta Pública</v>
          </cell>
        </row>
        <row r="2">
          <cell r="B2">
            <v>2002</v>
          </cell>
          <cell r="C2">
            <v>336</v>
          </cell>
        </row>
        <row r="3">
          <cell r="B3">
            <v>2003</v>
          </cell>
          <cell r="C3">
            <v>540</v>
          </cell>
        </row>
        <row r="4">
          <cell r="B4">
            <v>2004</v>
          </cell>
          <cell r="C4">
            <v>221</v>
          </cell>
        </row>
        <row r="5">
          <cell r="B5">
            <v>2005</v>
          </cell>
          <cell r="C5">
            <v>144</v>
          </cell>
        </row>
        <row r="6">
          <cell r="B6">
            <v>2006</v>
          </cell>
          <cell r="C6">
            <v>357</v>
          </cell>
        </row>
        <row r="7">
          <cell r="B7">
            <v>2007</v>
          </cell>
          <cell r="C7">
            <v>384</v>
          </cell>
        </row>
        <row r="8">
          <cell r="B8">
            <v>2008</v>
          </cell>
          <cell r="C8">
            <v>211</v>
          </cell>
        </row>
        <row r="9">
          <cell r="B9">
            <v>2009</v>
          </cell>
          <cell r="C9">
            <v>382</v>
          </cell>
        </row>
        <row r="10">
          <cell r="B10">
            <v>2010</v>
          </cell>
          <cell r="C10">
            <v>439</v>
          </cell>
        </row>
        <row r="11">
          <cell r="B11">
            <v>2011</v>
          </cell>
          <cell r="C11">
            <v>409</v>
          </cell>
        </row>
        <row r="12">
          <cell r="B12">
            <v>2012</v>
          </cell>
          <cell r="C12">
            <v>591</v>
          </cell>
        </row>
        <row r="13">
          <cell r="B13">
            <v>2013</v>
          </cell>
          <cell r="C13">
            <v>783</v>
          </cell>
        </row>
        <row r="14">
          <cell r="B14">
            <v>2014</v>
          </cell>
          <cell r="C14">
            <v>1208</v>
          </cell>
        </row>
        <row r="15">
          <cell r="B15">
            <v>2015</v>
          </cell>
          <cell r="C15">
            <v>377</v>
          </cell>
        </row>
        <row r="16">
          <cell r="B16">
            <v>2016</v>
          </cell>
          <cell r="C16">
            <v>643</v>
          </cell>
        </row>
        <row r="17">
          <cell r="B17">
            <v>2017</v>
          </cell>
          <cell r="C17">
            <v>204</v>
          </cell>
        </row>
        <row r="18">
          <cell r="B18">
            <v>2018</v>
          </cell>
          <cell r="C18">
            <v>147</v>
          </cell>
        </row>
        <row r="19">
          <cell r="B19">
            <v>2019</v>
          </cell>
          <cell r="C19">
            <v>194</v>
          </cell>
        </row>
        <row r="20">
          <cell r="B20">
            <v>2020</v>
          </cell>
          <cell r="C20">
            <v>204</v>
          </cell>
        </row>
        <row r="21">
          <cell r="B21">
            <v>2021</v>
          </cell>
          <cell r="C21">
            <v>181</v>
          </cell>
        </row>
        <row r="22">
          <cell r="B22">
            <v>2022</v>
          </cell>
          <cell r="C22">
            <v>111</v>
          </cell>
        </row>
        <row r="23">
          <cell r="B23">
            <v>2023</v>
          </cell>
          <cell r="C23">
            <v>408</v>
          </cell>
        </row>
        <row r="24">
          <cell r="B24">
            <v>2024</v>
          </cell>
          <cell r="C24">
            <v>174</v>
          </cell>
        </row>
      </sheetData>
      <sheetData sheetId="11">
        <row r="1">
          <cell r="B1" t="str">
            <v>Cuenta Pública</v>
          </cell>
        </row>
        <row r="2">
          <cell r="B2">
            <v>2002</v>
          </cell>
          <cell r="C2">
            <v>102</v>
          </cell>
        </row>
        <row r="3">
          <cell r="B3">
            <v>2003</v>
          </cell>
          <cell r="C3">
            <v>192</v>
          </cell>
        </row>
        <row r="4">
          <cell r="B4">
            <v>2004</v>
          </cell>
          <cell r="C4">
            <v>332</v>
          </cell>
        </row>
        <row r="5">
          <cell r="B5">
            <v>2005</v>
          </cell>
          <cell r="C5">
            <v>285</v>
          </cell>
        </row>
        <row r="6">
          <cell r="B6">
            <v>2006</v>
          </cell>
          <cell r="C6">
            <v>360</v>
          </cell>
        </row>
        <row r="7">
          <cell r="B7">
            <v>2007</v>
          </cell>
          <cell r="C7">
            <v>1174</v>
          </cell>
        </row>
        <row r="8">
          <cell r="B8">
            <v>2008</v>
          </cell>
          <cell r="C8">
            <v>1109</v>
          </cell>
        </row>
        <row r="9">
          <cell r="B9">
            <v>2009</v>
          </cell>
          <cell r="C9">
            <v>996</v>
          </cell>
        </row>
        <row r="10">
          <cell r="B10">
            <v>2010</v>
          </cell>
          <cell r="C10">
            <v>1337</v>
          </cell>
        </row>
        <row r="11">
          <cell r="B11">
            <v>2011</v>
          </cell>
          <cell r="C11">
            <v>1239</v>
          </cell>
        </row>
        <row r="12">
          <cell r="B12">
            <v>2012</v>
          </cell>
          <cell r="C12">
            <v>1910</v>
          </cell>
        </row>
        <row r="13">
          <cell r="B13">
            <v>2013</v>
          </cell>
          <cell r="C13">
            <v>2033</v>
          </cell>
        </row>
        <row r="14">
          <cell r="B14">
            <v>2014</v>
          </cell>
          <cell r="C14">
            <v>2226</v>
          </cell>
        </row>
        <row r="15">
          <cell r="B15">
            <v>2015</v>
          </cell>
          <cell r="C15">
            <v>2782</v>
          </cell>
        </row>
        <row r="16">
          <cell r="B16">
            <v>2016</v>
          </cell>
          <cell r="C16">
            <v>2810</v>
          </cell>
        </row>
        <row r="17">
          <cell r="B17">
            <v>2017</v>
          </cell>
          <cell r="C17">
            <v>2058</v>
          </cell>
        </row>
        <row r="18">
          <cell r="B18">
            <v>2018</v>
          </cell>
          <cell r="C18">
            <v>2557</v>
          </cell>
        </row>
        <row r="19">
          <cell r="B19">
            <v>2019</v>
          </cell>
          <cell r="C19">
            <v>1628</v>
          </cell>
        </row>
        <row r="20">
          <cell r="B20">
            <v>2020</v>
          </cell>
          <cell r="C20">
            <v>1333</v>
          </cell>
        </row>
        <row r="21">
          <cell r="B21">
            <v>2021</v>
          </cell>
          <cell r="C21">
            <v>1469</v>
          </cell>
        </row>
        <row r="22">
          <cell r="B22">
            <v>2022</v>
          </cell>
          <cell r="C22">
            <v>1696</v>
          </cell>
        </row>
        <row r="23">
          <cell r="B23">
            <v>2023</v>
          </cell>
          <cell r="C23">
            <v>2594</v>
          </cell>
        </row>
        <row r="24">
          <cell r="B24">
            <v>2024</v>
          </cell>
          <cell r="C24">
            <v>2762</v>
          </cell>
        </row>
      </sheetData>
      <sheetData sheetId="12">
        <row r="2">
          <cell r="B2" t="str">
            <v>Cuenta Pública</v>
          </cell>
        </row>
        <row r="3">
          <cell r="B3">
            <v>2002</v>
          </cell>
          <cell r="C3">
            <v>7</v>
          </cell>
        </row>
        <row r="4">
          <cell r="B4">
            <v>2003</v>
          </cell>
          <cell r="C4">
            <v>40</v>
          </cell>
        </row>
        <row r="5">
          <cell r="B5">
            <v>2004</v>
          </cell>
          <cell r="C5">
            <v>349</v>
          </cell>
        </row>
        <row r="6">
          <cell r="B6">
            <v>2005</v>
          </cell>
          <cell r="C6">
            <v>461</v>
          </cell>
        </row>
        <row r="7">
          <cell r="B7">
            <v>2006</v>
          </cell>
          <cell r="C7">
            <v>563</v>
          </cell>
        </row>
        <row r="8">
          <cell r="B8">
            <v>2007</v>
          </cell>
          <cell r="C8">
            <v>1631</v>
          </cell>
        </row>
        <row r="9">
          <cell r="B9">
            <v>2008</v>
          </cell>
          <cell r="C9">
            <v>1116</v>
          </cell>
        </row>
        <row r="10">
          <cell r="B10">
            <v>2009</v>
          </cell>
          <cell r="C10">
            <v>1385</v>
          </cell>
        </row>
        <row r="11">
          <cell r="B11">
            <v>2010</v>
          </cell>
          <cell r="C11">
            <v>1911</v>
          </cell>
        </row>
        <row r="12">
          <cell r="B12">
            <v>2011</v>
          </cell>
          <cell r="C12">
            <v>1652</v>
          </cell>
        </row>
        <row r="13">
          <cell r="B13">
            <v>2012</v>
          </cell>
          <cell r="C13">
            <v>1819</v>
          </cell>
        </row>
        <row r="14">
          <cell r="B14">
            <v>2013</v>
          </cell>
          <cell r="C14">
            <v>1361</v>
          </cell>
        </row>
        <row r="15">
          <cell r="B15">
            <v>2014</v>
          </cell>
          <cell r="C15">
            <v>2134</v>
          </cell>
        </row>
        <row r="16">
          <cell r="B16">
            <v>2015</v>
          </cell>
          <cell r="C16">
            <v>2715</v>
          </cell>
        </row>
        <row r="17">
          <cell r="B17">
            <v>2016</v>
          </cell>
          <cell r="C17">
            <v>2560</v>
          </cell>
        </row>
        <row r="18">
          <cell r="B18">
            <v>2017</v>
          </cell>
          <cell r="C18">
            <v>2792</v>
          </cell>
        </row>
        <row r="19">
          <cell r="B19">
            <v>2018</v>
          </cell>
          <cell r="C19">
            <v>2462</v>
          </cell>
        </row>
        <row r="20">
          <cell r="B20">
            <v>2019</v>
          </cell>
          <cell r="C20">
            <v>1587</v>
          </cell>
        </row>
        <row r="21">
          <cell r="B21">
            <v>2020</v>
          </cell>
          <cell r="C21">
            <v>1484</v>
          </cell>
        </row>
        <row r="22">
          <cell r="B22">
            <v>2021</v>
          </cell>
          <cell r="C22">
            <v>1564</v>
          </cell>
        </row>
        <row r="23">
          <cell r="B23">
            <v>2022</v>
          </cell>
          <cell r="C23">
            <v>1730</v>
          </cell>
        </row>
        <row r="24">
          <cell r="B24">
            <v>2023</v>
          </cell>
          <cell r="C24">
            <v>2508</v>
          </cell>
        </row>
        <row r="25">
          <cell r="B25">
            <v>2024</v>
          </cell>
          <cell r="C25">
            <v>2203</v>
          </cell>
        </row>
      </sheetData>
      <sheetData sheetId="13">
        <row r="1">
          <cell r="B1" t="str">
            <v>Cuenta Pública</v>
          </cell>
        </row>
        <row r="2">
          <cell r="B2">
            <v>2002</v>
          </cell>
          <cell r="C2">
            <v>14</v>
          </cell>
        </row>
        <row r="3">
          <cell r="B3">
            <v>2003</v>
          </cell>
          <cell r="C3">
            <v>34</v>
          </cell>
        </row>
        <row r="4">
          <cell r="B4">
            <v>2004</v>
          </cell>
          <cell r="C4">
            <v>70</v>
          </cell>
        </row>
        <row r="5">
          <cell r="B5">
            <v>2005</v>
          </cell>
          <cell r="C5">
            <v>62</v>
          </cell>
        </row>
        <row r="6">
          <cell r="B6">
            <v>2006</v>
          </cell>
          <cell r="C6">
            <v>85</v>
          </cell>
        </row>
        <row r="7">
          <cell r="B7">
            <v>2007</v>
          </cell>
          <cell r="C7">
            <v>286</v>
          </cell>
        </row>
        <row r="8">
          <cell r="B8">
            <v>2008</v>
          </cell>
          <cell r="C8">
            <v>226</v>
          </cell>
        </row>
        <row r="9">
          <cell r="B9">
            <v>2009</v>
          </cell>
          <cell r="C9">
            <v>226</v>
          </cell>
        </row>
        <row r="10">
          <cell r="B10">
            <v>2010</v>
          </cell>
          <cell r="C10">
            <v>414</v>
          </cell>
        </row>
        <row r="11">
          <cell r="B11">
            <v>2011</v>
          </cell>
          <cell r="C11">
            <v>381</v>
          </cell>
        </row>
        <row r="12">
          <cell r="B12">
            <v>2012</v>
          </cell>
          <cell r="C12">
            <v>476</v>
          </cell>
        </row>
        <row r="13">
          <cell r="B13">
            <v>2013</v>
          </cell>
          <cell r="C13">
            <v>633</v>
          </cell>
        </row>
        <row r="14">
          <cell r="B14">
            <v>2014</v>
          </cell>
          <cell r="C14">
            <v>799</v>
          </cell>
        </row>
        <row r="15">
          <cell r="B15">
            <v>2015</v>
          </cell>
          <cell r="C15">
            <v>1077</v>
          </cell>
        </row>
        <row r="16">
          <cell r="B16">
            <v>2016</v>
          </cell>
          <cell r="C16">
            <v>1</v>
          </cell>
        </row>
      </sheetData>
      <sheetData sheetId="14">
        <row r="1">
          <cell r="B1" t="str">
            <v>Cuenta Pública</v>
          </cell>
        </row>
        <row r="2">
          <cell r="B2">
            <v>2003</v>
          </cell>
          <cell r="C2">
            <v>1</v>
          </cell>
        </row>
        <row r="3">
          <cell r="B3">
            <v>2004</v>
          </cell>
          <cell r="C3">
            <v>4</v>
          </cell>
        </row>
        <row r="4">
          <cell r="B4">
            <v>2005</v>
          </cell>
          <cell r="C4">
            <v>3</v>
          </cell>
        </row>
        <row r="5">
          <cell r="B5">
            <v>2006</v>
          </cell>
          <cell r="C5">
            <v>4</v>
          </cell>
        </row>
        <row r="6">
          <cell r="B6">
            <v>2007</v>
          </cell>
          <cell r="C6">
            <v>2</v>
          </cell>
        </row>
        <row r="7">
          <cell r="B7">
            <v>2008</v>
          </cell>
          <cell r="C7">
            <v>11</v>
          </cell>
        </row>
        <row r="8">
          <cell r="B8">
            <v>2009</v>
          </cell>
          <cell r="C8">
            <v>88</v>
          </cell>
        </row>
        <row r="9">
          <cell r="B9">
            <v>2010</v>
          </cell>
          <cell r="C9">
            <v>140</v>
          </cell>
        </row>
        <row r="10">
          <cell r="B10">
            <v>2011</v>
          </cell>
          <cell r="C10">
            <v>147</v>
          </cell>
        </row>
        <row r="11">
          <cell r="B11">
            <v>2012</v>
          </cell>
          <cell r="C11">
            <v>221</v>
          </cell>
        </row>
        <row r="12">
          <cell r="B12">
            <v>2013</v>
          </cell>
          <cell r="C12">
            <v>103</v>
          </cell>
        </row>
        <row r="13">
          <cell r="B13">
            <v>2014</v>
          </cell>
          <cell r="C13">
            <v>94</v>
          </cell>
        </row>
        <row r="14">
          <cell r="B14">
            <v>2015</v>
          </cell>
          <cell r="C14">
            <v>62</v>
          </cell>
        </row>
        <row r="15">
          <cell r="B15">
            <v>2016</v>
          </cell>
          <cell r="C15">
            <v>48</v>
          </cell>
        </row>
        <row r="16">
          <cell r="B16">
            <v>2017</v>
          </cell>
          <cell r="C16">
            <v>91</v>
          </cell>
        </row>
        <row r="17">
          <cell r="B17">
            <v>2018</v>
          </cell>
          <cell r="C17">
            <v>43</v>
          </cell>
        </row>
        <row r="18">
          <cell r="B18">
            <v>2019</v>
          </cell>
          <cell r="C18">
            <v>9</v>
          </cell>
        </row>
        <row r="19">
          <cell r="B19">
            <v>2020</v>
          </cell>
          <cell r="C19">
            <v>17</v>
          </cell>
        </row>
        <row r="20">
          <cell r="B20">
            <v>2021</v>
          </cell>
          <cell r="C20">
            <v>2</v>
          </cell>
        </row>
        <row r="21">
          <cell r="B21">
            <v>2022</v>
          </cell>
          <cell r="C21">
            <v>4</v>
          </cell>
        </row>
        <row r="22">
          <cell r="B22" t="str">
            <v>SIMULACIÓN DE REINTEGRO</v>
          </cell>
          <cell r="C22">
            <v>85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C0F496-3AAD-4E5D-95C0-0B788003F3EB}" name="Tabla3" displayName="Tabla3" ref="B2:E33" totalsRowShown="0" headerRowDxfId="395" dataDxfId="394" headerRowBorderDxfId="392" tableBorderDxfId="393" totalsRowBorderDxfId="391" headerRowCellStyle="Neutral">
  <tableColumns count="4">
    <tableColumn id="1" xr3:uid="{041AF972-7AE0-4B64-A7D3-5E62F0A3E7DA}" name="SECTOR" dataDxfId="390"/>
    <tableColumn id="2" xr3:uid="{B87639B5-DB58-4C2E-AF6C-8B9C091782E8}" name="AUDITORÍAS" dataDxfId="389"/>
    <tableColumn id="3" xr3:uid="{BD0FA18A-9512-4D13-9111-59361A28AB1B}" name="PORCENTAJE" dataDxfId="388"/>
    <tableColumn id="4" xr3:uid="{7C9654DE-92E2-4744-989F-FA7855F32B22}" name="PORCENTAJE ACUMULADO" dataDxfId="387"/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A7F5639-4FFA-448E-9300-5AE5A91A6D2F}" name="Tabla23" displayName="Tabla23" ref="C3:G10" totalsRowShown="0" headerRowDxfId="216" dataDxfId="215" headerRowBorderDxfId="213" tableBorderDxfId="214" totalsRowBorderDxfId="212" headerRowCellStyle="Neutral">
  <tableColumns count="5">
    <tableColumn id="1" xr3:uid="{A5DC16E8-4CB4-4B55-B093-DBB23EA84EA2}" name="Cuenta Pública" dataDxfId="211" dataCellStyle="Neutral"/>
    <tableColumn id="2" xr3:uid="{9264DBC9-4240-407B-81A3-2D9F3017929D}" name="En proceso _x000a_de Notificación" dataDxfId="210"/>
    <tableColumn id="3" xr3:uid="{AFC776EC-62B9-40C2-9049-17D7249000F7}" name="En Seguimiento" dataDxfId="209"/>
    <tableColumn id="4" xr3:uid="{7F8C1FE9-1B55-47AF-A80E-359963918FE6}" name="Concluidas" dataDxfId="208"/>
    <tableColumn id="5" xr3:uid="{7420F20E-8DDA-489D-9089-D8B914529B7A}" name="Total" dataDxfId="207"/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377DB7A-F27F-4C13-8EE4-1D3CFE6892A4}" name="Tabla22" displayName="Tabla22" ref="C4:H37" totalsRowShown="0" headerRowDxfId="206" dataDxfId="205" headerRowBorderDxfId="203" tableBorderDxfId="204" totalsRowBorderDxfId="202" headerRowCellStyle="Neutral">
  <tableColumns count="6">
    <tableColumn id="1" xr3:uid="{70A1DECA-0866-4BA1-9F93-FBE0675518D1}" name="2002" dataDxfId="201"/>
    <tableColumn id="2" xr3:uid="{68860719-9D9E-40AB-9270-BFB653517B33}" name="2003" dataDxfId="200"/>
    <tableColumn id="3" xr3:uid="{197F4D03-742F-467A-A1BC-C7C34887D375}" name="2004" dataDxfId="199"/>
    <tableColumn id="4" xr3:uid="{E06C0F5D-EFC7-4BEA-8238-ECF072F3B50D}" name="2005" dataDxfId="198"/>
    <tableColumn id="5" xr3:uid="{B3E7A5E8-AF67-47F5-9671-ADAF590EB90E}" name="2006" dataDxfId="197"/>
    <tableColumn id="6" xr3:uid="{B5960361-87B8-4E34-8CBE-7EBE982C3611}" name="2007" dataDxfId="196"/>
  </tableColumns>
  <tableStyleInfo name="TableStyleMedium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CC801F-AEF6-4315-BE8F-F5F5A7E96AB8}" name="Tabla26" displayName="Tabla26" ref="C2:G26" totalsRowShown="0" headerRowDxfId="195" dataDxfId="194" headerRowBorderDxfId="192" tableBorderDxfId="193" totalsRowBorderDxfId="191" headerRowCellStyle="Neutral">
  <tableColumns count="5">
    <tableColumn id="1" xr3:uid="{717D2681-AEF1-420C-BD3D-985CD3EFA326}" name="Cuenta Pública" dataDxfId="190"/>
    <tableColumn id="2" xr3:uid="{7046E4DA-9A8B-49B1-9E8B-1EF4C8D67E48}" name="En proceso _x000a_de Notificación" dataDxfId="189"/>
    <tableColumn id="3" xr3:uid="{F0DAEE86-9D36-4245-B221-801A2FD122F1}" name="En Seguimiento" dataDxfId="188"/>
    <tableColumn id="4" xr3:uid="{C5760472-6FEE-47F5-85DD-049E8E0FB823}" name="Concluidas" dataDxfId="187"/>
    <tableColumn id="5" xr3:uid="{E8C54D6B-1FC9-45FA-B47D-4FD479341F83}" name="Total" dataDxfId="186"/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108FCF6-D0CC-4292-A83C-4548585BDB8E}" name="Tabla25" displayName="Tabla25" ref="C3:Y34" totalsRowShown="0" headerRowDxfId="185" dataDxfId="184" headerRowBorderDxfId="182" tableBorderDxfId="183" totalsRowBorderDxfId="181" headerRowCellStyle="Neutral">
  <tableColumns count="23">
    <tableColumn id="1" xr3:uid="{9BC7A054-2168-4804-9849-A393E17ADD6C}" name="2002" dataDxfId="180"/>
    <tableColumn id="2" xr3:uid="{B1836620-C6FF-4070-9FE1-8CE5C7ED8736}" name="2003" dataDxfId="179"/>
    <tableColumn id="3" xr3:uid="{A36DEA18-C1AC-474E-BF50-9B85E8712E8E}" name="2004" dataDxfId="178"/>
    <tableColumn id="4" xr3:uid="{B9FF2769-C734-4F54-9FD7-2070FD5BDB69}" name="2005" dataDxfId="177"/>
    <tableColumn id="5" xr3:uid="{B8ABC850-CE17-4B4F-AB9F-07B8CDACF4AA}" name="2006" dataDxfId="176"/>
    <tableColumn id="6" xr3:uid="{0850A9B5-AD02-44F5-81B1-9FCB2F11C54C}" name="2007" dataDxfId="175"/>
    <tableColumn id="7" xr3:uid="{D539E230-31E6-4FDC-89A3-8A980A3F8148}" name="2008" dataDxfId="174"/>
    <tableColumn id="8" xr3:uid="{318B2EEB-0355-4394-BE5D-3DCABC32E0D7}" name="2009" dataDxfId="173"/>
    <tableColumn id="9" xr3:uid="{8DD1ADFC-11C5-45A3-B89E-B287C8DCBE7B}" name="2010" dataDxfId="172"/>
    <tableColumn id="10" xr3:uid="{7FBF3EC9-EF7C-4FDB-9487-D126489C95C3}" name="2011" dataDxfId="171"/>
    <tableColumn id="11" xr3:uid="{AC945F64-45B2-4724-9202-E7FD60BAD0E6}" name="2012" dataDxfId="170"/>
    <tableColumn id="12" xr3:uid="{F597D29A-59FF-4205-B06E-73C83F945FE6}" name="2013" dataDxfId="169"/>
    <tableColumn id="13" xr3:uid="{8E5CFB0B-8DD1-4448-BF34-6ACEADF9C60F}" name="2014" dataDxfId="168"/>
    <tableColumn id="14" xr3:uid="{1881C718-9E36-4FAF-9C11-EC43D1014D2C}" name="2015" dataDxfId="167"/>
    <tableColumn id="15" xr3:uid="{72769058-1DC4-43FB-886A-9E7BF59C339D}" name="2016" dataDxfId="166"/>
    <tableColumn id="16" xr3:uid="{92BFE307-C599-4913-B72C-637566B53021}" name="2017" dataDxfId="165"/>
    <tableColumn id="17" xr3:uid="{6EA69B59-761D-480D-AB30-81A29241F947}" name="2018" dataDxfId="164"/>
    <tableColumn id="18" xr3:uid="{6E248F59-F4F3-4D95-AC6D-DE11757AB90E}" name="2019" dataDxfId="163"/>
    <tableColumn id="19" xr3:uid="{99AF725E-4DF2-4055-B341-32DC242FA095}" name="2020" dataDxfId="162"/>
    <tableColumn id="20" xr3:uid="{0AFC960B-5012-4D25-9FD4-9F89463FEB7B}" name="2021" dataDxfId="161"/>
    <tableColumn id="21" xr3:uid="{8E2742D0-54A5-461D-A91C-11A6198C658B}" name="2022" dataDxfId="160"/>
    <tableColumn id="22" xr3:uid="{2EEA3F87-6E39-4854-9036-61105CC49E45}" name="2023" dataDxfId="159"/>
    <tableColumn id="23" xr3:uid="{9333977B-7555-4596-A4B9-BD2EF91B6D3F}" name="2024" dataDxfId="158"/>
  </tableColumns>
  <tableStyleInfo name="TableStyleMedium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48824B9-763C-421A-B408-6804F1313AC5}" name="Tabla28" displayName="Tabla28" ref="B2:F26" totalsRowShown="0" headerRowDxfId="157" dataDxfId="156" headerRowBorderDxfId="154" tableBorderDxfId="155" totalsRowBorderDxfId="153" headerRowCellStyle="Neutral">
  <tableColumns count="5">
    <tableColumn id="1" xr3:uid="{60AC12EA-83C7-4627-A455-8DF6D85B9817}" name="Cuenta Pública" dataDxfId="152"/>
    <tableColumn id="2" xr3:uid="{FE0DD5BB-6354-4B00-B2D2-ACE228EAE359}" name="En proceso _x000a_de Notificación" dataDxfId="151"/>
    <tableColumn id="3" xr3:uid="{B86ADD2A-4B6D-4DAD-8777-84857E8EF4C6}" name="En Seguimiento" dataDxfId="150"/>
    <tableColumn id="4" xr3:uid="{2D2D3301-0C8E-4492-B6CE-22BE8FF22E0D}" name="Concluidas" dataDxfId="149"/>
    <tableColumn id="5" xr3:uid="{169CCC19-DCE9-49DD-9017-CE130A8FA7D8}" name="Total" dataDxfId="148">
      <calculatedColumnFormula>SUM(Tabla28[[#This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BD0935F-E0B0-4F24-B913-813098B855A5}" name="Tabla40" displayName="Tabla40" ref="C4:Y34" totalsRowShown="0" headerRowDxfId="147" dataDxfId="146" headerRowBorderDxfId="144" tableBorderDxfId="145" totalsRowBorderDxfId="143" headerRowCellStyle="Neutral">
  <tableColumns count="23">
    <tableColumn id="1" xr3:uid="{B13BDCFE-C45E-4E68-9D2C-5B6C73334285}" name="2002" dataDxfId="142"/>
    <tableColumn id="2" xr3:uid="{0A766DD4-8752-4354-A827-2A2FD3B0B421}" name="2003" dataDxfId="141"/>
    <tableColumn id="3" xr3:uid="{34B6BA20-5E63-45EA-9F16-1FE2FBDE3CFD}" name="2004" dataDxfId="140"/>
    <tableColumn id="4" xr3:uid="{74DB391B-A449-4914-8AFE-AE8BBB26B0DB}" name="2005" dataDxfId="139"/>
    <tableColumn id="5" xr3:uid="{33D2E633-113B-40CD-B71B-F1C50E4AA910}" name="2006" dataDxfId="138"/>
    <tableColumn id="6" xr3:uid="{70E880C6-8549-4A31-98D1-90A4FD2C94F6}" name="2007" dataDxfId="137"/>
    <tableColumn id="7" xr3:uid="{17DB9019-EC9F-4A15-B919-A9AFFF2ACBAB}" name="2008" dataDxfId="136"/>
    <tableColumn id="8" xr3:uid="{FADD0D5F-F4E8-4F70-97FA-F727C3DEE03D}" name="2009" dataDxfId="135"/>
    <tableColumn id="9" xr3:uid="{88CF9B0D-73F8-4018-B877-A803401B0874}" name="2010" dataDxfId="134"/>
    <tableColumn id="10" xr3:uid="{BE66925C-9442-4F4E-916F-FBAFDABE4BFA}" name="2011" dataDxfId="133"/>
    <tableColumn id="11" xr3:uid="{D6464354-DEFD-4CEF-8421-27F7EBD4B2A0}" name="2012" dataDxfId="132"/>
    <tableColumn id="12" xr3:uid="{13E3170B-ABD1-4D1A-9739-9FC34550AAC2}" name="2013" dataDxfId="131"/>
    <tableColumn id="13" xr3:uid="{0397BF74-2A17-49D8-992F-514CBD476132}" name="2014" dataDxfId="130"/>
    <tableColumn id="14" xr3:uid="{EB01FED0-539F-4B1A-A487-29602590BBD2}" name="2015" dataDxfId="129"/>
    <tableColumn id="15" xr3:uid="{68217388-CD5C-42D5-ADBE-02CF21D341F2}" name="2016" dataDxfId="128"/>
    <tableColumn id="16" xr3:uid="{2143A933-C5DA-4107-9B8E-AD8B9BE87751}" name="2017" dataDxfId="127"/>
    <tableColumn id="17" xr3:uid="{B3D60865-A76C-4EAA-8A32-898801C094C2}" name="2018" dataDxfId="126"/>
    <tableColumn id="18" xr3:uid="{4FE4EF99-6C15-4371-A3BE-611B73F00189}" name="2019" dataDxfId="125"/>
    <tableColumn id="19" xr3:uid="{279E96CD-CCBA-4F64-A9E7-B57B6F600B48}" name="2020" dataDxfId="124"/>
    <tableColumn id="20" xr3:uid="{C589ECAB-E1B9-4061-A92A-DF7F55525ED7}" name="2021" dataDxfId="123"/>
    <tableColumn id="21" xr3:uid="{E960E690-167E-4655-B556-B757073EFC07}" name="2022" dataDxfId="122"/>
    <tableColumn id="22" xr3:uid="{B688B169-2270-4552-A111-855F6F9D857C}" name="2023" dataDxfId="121"/>
    <tableColumn id="23" xr3:uid="{F324ED2A-3BE7-4C5A-AB6C-9781104F8AA3}" name="2024" dataDxfId="120"/>
  </tableColumns>
  <tableStyleInfo name="TableStyleMedium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F46CF31-D112-4468-954A-EF6459DAE53B}" name="Tabla42" displayName="Tabla42" ref="D4:Z34" totalsRowCount="1" headerRowDxfId="119" dataDxfId="118" totalsRowDxfId="117" headerRowBorderDxfId="115" tableBorderDxfId="116" totalsRowBorderDxfId="114" headerRowCellStyle="Neutral" totalsRowCellStyle="Neutral">
  <tableColumns count="23">
    <tableColumn id="1" xr3:uid="{95B62A42-BFE8-41E2-8796-D7A9A188200D}" name="2002" totalsRowFunction="sum" dataDxfId="112" totalsRowDxfId="113"/>
    <tableColumn id="2" xr3:uid="{102FA727-1210-44AD-983B-EC325FD13C04}" name="2003" totalsRowFunction="sum" dataDxfId="110" totalsRowDxfId="111"/>
    <tableColumn id="3" xr3:uid="{2C2A193D-9680-4904-A28C-22C145863A66}" name="2004" totalsRowFunction="sum" dataDxfId="108" totalsRowDxfId="109"/>
    <tableColumn id="4" xr3:uid="{2EE45C71-B72F-4772-9423-29B82FF1E454}" name="2005" totalsRowFunction="sum" dataDxfId="106" totalsRowDxfId="107"/>
    <tableColumn id="5" xr3:uid="{591378CA-3D20-4B57-B346-914710BB8B01}" name="2006" totalsRowFunction="sum" dataDxfId="104" totalsRowDxfId="105"/>
    <tableColumn id="6" xr3:uid="{D2585AB6-BBDB-4AB5-94CA-2480BCBB9AB8}" name="2007" totalsRowFunction="sum" dataDxfId="102" totalsRowDxfId="103"/>
    <tableColumn id="7" xr3:uid="{8BCC807C-0A3C-4ED7-A830-6F6E51C901F1}" name="2008" totalsRowFunction="sum" dataDxfId="100" totalsRowDxfId="101"/>
    <tableColumn id="8" xr3:uid="{476C7678-1076-4AB4-9B55-7FFD165AC7D2}" name="2009" totalsRowFunction="sum" dataDxfId="98" totalsRowDxfId="99"/>
    <tableColumn id="9" xr3:uid="{6B7A570D-E1BE-4930-8A87-8985AA9C4811}" name="2010" totalsRowFunction="sum" dataDxfId="96" totalsRowDxfId="97"/>
    <tableColumn id="10" xr3:uid="{08638E61-07A7-4EC4-932F-721C56D9D2CB}" name="2011" totalsRowFunction="sum" dataDxfId="94" totalsRowDxfId="95"/>
    <tableColumn id="11" xr3:uid="{20995BF6-081F-44AF-9AA7-BD218FBA8001}" name="2012" totalsRowFunction="sum" dataDxfId="92" totalsRowDxfId="93"/>
    <tableColumn id="12" xr3:uid="{7EDE3A2C-BC94-472F-B91F-159A3BA7E328}" name="2013" totalsRowFunction="sum" dataDxfId="90" totalsRowDxfId="91"/>
    <tableColumn id="13" xr3:uid="{387C4889-68E4-4334-909D-976E799D2267}" name="2014" totalsRowFunction="sum" dataDxfId="88" totalsRowDxfId="89"/>
    <tableColumn id="14" xr3:uid="{95F6073F-2DE1-43D1-A660-3FE62AA515A9}" name="2015" totalsRowFunction="sum" dataDxfId="86" totalsRowDxfId="87"/>
    <tableColumn id="15" xr3:uid="{D392FDA9-9477-4297-ACD4-9215DB86AC84}" name="2016" totalsRowFunction="sum" dataDxfId="84" totalsRowDxfId="85"/>
    <tableColumn id="16" xr3:uid="{301CCB2D-28B6-4C80-817C-4F07DF7FF406}" name="2017" totalsRowFunction="sum" dataDxfId="82" totalsRowDxfId="83"/>
    <tableColumn id="17" xr3:uid="{279A6FDF-18D2-4440-BC4E-CFBFD5EB2293}" name="2018" totalsRowFunction="sum" dataDxfId="80" totalsRowDxfId="81"/>
    <tableColumn id="18" xr3:uid="{8F9A5376-B074-4BAC-9E71-63E500CC505E}" name="2019" totalsRowFunction="sum" dataDxfId="78" totalsRowDxfId="79"/>
    <tableColumn id="19" xr3:uid="{41F4171D-0102-431E-80FC-4CF8A047D69E}" name="2020" totalsRowFunction="sum" dataDxfId="76" totalsRowDxfId="77"/>
    <tableColumn id="20" xr3:uid="{E2455C18-F5BF-480F-8E60-C6EDA22D8ED7}" name="2021" totalsRowFunction="sum" dataDxfId="74" totalsRowDxfId="75"/>
    <tableColumn id="21" xr3:uid="{3DA17AB3-090A-4BF5-B120-753322CA8EEE}" name="2022" totalsRowFunction="sum" dataDxfId="72" totalsRowDxfId="73"/>
    <tableColumn id="22" xr3:uid="{0082897D-4B36-49D5-96A9-DE9D39E48443}" name="2023" totalsRowFunction="sum" dataDxfId="70" totalsRowDxfId="71"/>
    <tableColumn id="23" xr3:uid="{B8DD7FBA-A703-45DF-B60E-3D8F3DEFC09C}" name="2024" totalsRowFunction="sum" dataDxfId="68" totalsRowDxfId="69"/>
  </tableColumns>
  <tableStyleInfo name="TableStyleMedium1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F867762-078E-49E4-802E-036B0756FDC9}" name="Tabla32" displayName="Tabla32" ref="C4:G28" totalsRowShown="0" headerRowDxfId="67" dataDxfId="66" headerRowBorderDxfId="64" tableBorderDxfId="65" totalsRowBorderDxfId="63" headerRowCellStyle="Neutral">
  <tableColumns count="5">
    <tableColumn id="1" xr3:uid="{76AD0E39-1957-403E-99E5-BDACD955B727}" name="Cuenta Pública" dataDxfId="62" dataCellStyle="Neutral"/>
    <tableColumn id="2" xr3:uid="{6813EB4F-E9D2-48BF-9F54-F3640D9D5E54}" name="En proceso _x000a_de Notificación" dataDxfId="61"/>
    <tableColumn id="3" xr3:uid="{23775E61-3553-44CB-A1CE-72CA068619B2}" name="En Seguimiento" dataDxfId="60"/>
    <tableColumn id="4" xr3:uid="{1147DA1C-02F1-4A78-A1F8-A1C1B72161B9}" name="Concluidas" dataDxfId="59"/>
    <tableColumn id="5" xr3:uid="{A65A0184-96E9-4A61-97CE-83F68C0CBD6E}" name="Total" dataDxfId="58" dataCellStyle="Neutral">
      <calculatedColumnFormula>SUM(Tabla32[[#This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0D8D01A-5165-420F-A4EE-25CA18EE165F}" name="Tabla43" displayName="Tabla43" ref="C3:Y33" totalsRowShown="0" headerRowDxfId="57" dataDxfId="56" headerRowBorderDxfId="54" tableBorderDxfId="55" totalsRowBorderDxfId="53" headerRowCellStyle="Neutral">
  <tableColumns count="23">
    <tableColumn id="1" xr3:uid="{6A718750-9BC9-4091-BDF1-7866F7A3E117}" name="2002" dataDxfId="52"/>
    <tableColumn id="2" xr3:uid="{BA060F76-0EC2-4074-B745-419B1FE8AA9C}" name="2003" dataDxfId="51"/>
    <tableColumn id="3" xr3:uid="{C060D289-5339-45DB-A0BC-9724721DD7C0}" name="2004" dataDxfId="50"/>
    <tableColumn id="4" xr3:uid="{EA918A43-C29A-4C07-A617-E351D0328519}" name="2005" dataDxfId="49"/>
    <tableColumn id="5" xr3:uid="{906B73A4-4011-44B3-980D-724570CE52FF}" name="2006" dataDxfId="48"/>
    <tableColumn id="6" xr3:uid="{63743A39-7B38-414E-9759-A7C994BE49EB}" name="2007" dataDxfId="47"/>
    <tableColumn id="7" xr3:uid="{2B14811F-63A6-447E-AFFA-99475EA604A5}" name="2008" dataDxfId="46"/>
    <tableColumn id="8" xr3:uid="{81CE09ED-D326-4D93-B899-EF085908C893}" name="2009" dataDxfId="45"/>
    <tableColumn id="9" xr3:uid="{DF6731FA-C995-4184-A3D7-A5CF88409B82}" name="2010" dataDxfId="44"/>
    <tableColumn id="10" xr3:uid="{1904C349-2E6F-4019-BD82-E9553924677B}" name="2011" dataDxfId="43"/>
    <tableColumn id="11" xr3:uid="{19D0DCAD-9044-45F0-88A4-10FDACC3938D}" name="2012" dataDxfId="42"/>
    <tableColumn id="12" xr3:uid="{FE936EAA-E91F-4D6F-B43B-95EDB2B30EDF}" name="2013" dataDxfId="41"/>
    <tableColumn id="13" xr3:uid="{EA63B2A4-178B-4130-ADA8-103B7EEFD95B}" name="2014" dataDxfId="40"/>
    <tableColumn id="14" xr3:uid="{3FA1BE32-7877-4D69-B413-48B9EE35E2A1}" name="2015" dataDxfId="39"/>
    <tableColumn id="15" xr3:uid="{DECE1E44-0E52-44E5-A09D-282E14BD9E6F}" name="2016" dataDxfId="38"/>
    <tableColumn id="16" xr3:uid="{98345A84-CBA4-4337-9023-F00DFA388C7A}" name="2017" dataDxfId="37"/>
    <tableColumn id="17" xr3:uid="{A87BA5C2-0AEC-41AF-A9D1-026300057792}" name="2018" dataDxfId="36"/>
    <tableColumn id="18" xr3:uid="{B5E8AD5D-19DD-4665-8D30-F96B03A48F26}" name="2019" dataDxfId="35"/>
    <tableColumn id="19" xr3:uid="{FCF2B82A-C965-40B0-95E0-783954B6D5A2}" name="2020" dataDxfId="34"/>
    <tableColumn id="20" xr3:uid="{E098EAA0-4CE3-41C6-A00B-314EC1F0FBE4}" name="2021" dataDxfId="33"/>
    <tableColumn id="21" xr3:uid="{63B709F5-076F-4016-A1D7-90EC25D2A6F4}" name="2022" dataDxfId="32"/>
    <tableColumn id="22" xr3:uid="{31226304-2AB3-4496-80D6-7BEBF9D59266}" name="2023" dataDxfId="31"/>
    <tableColumn id="23" xr3:uid="{5D5DAFED-CD15-4978-B8B3-81AF8B7710A6}" name="2024" dataDxfId="30"/>
  </tableColumns>
  <tableStyleInfo name="TableStyleMedium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0BF4D82-724D-4062-8F48-43C7ECDB9795}" name="Tabla35" displayName="Tabla35" ref="C3:G19" totalsRowShown="0" headerRowDxfId="29" dataDxfId="28" headerRowBorderDxfId="26" tableBorderDxfId="27" totalsRowBorderDxfId="25" headerRowCellStyle="Neutral">
  <tableColumns count="5">
    <tableColumn id="1" xr3:uid="{8A7C1677-30A2-4AEA-8F99-F9E888FE66DA}" name="Cuenta Pública" dataDxfId="24"/>
    <tableColumn id="2" xr3:uid="{EEC11E5F-D11D-407E-B496-58AC677365C5}" name="En proceso _x000a_de Notificación" dataDxfId="23"/>
    <tableColumn id="3" xr3:uid="{BFF89F4D-54F1-4BEA-BE7F-5C8613652C80}" name="En Seguimiento" dataDxfId="22"/>
    <tableColumn id="4" xr3:uid="{9E6B055A-5E41-4877-8FD4-A0DE356BA1D0}" name="Concluidas" dataDxfId="21"/>
    <tableColumn id="5" xr3:uid="{35F0F987-3D06-4B18-8A86-050F3739FFED}" name="Total" dataDxfId="20">
      <calculatedColumnFormula>SUM(Tabla35[[#This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66D3F7-2A65-422B-B2E8-86C386AF0CAA}" name="Tabla9" displayName="Tabla9" ref="C3:Y34" totalsRowShown="0" headerRowDxfId="386" dataDxfId="385" headerRowCellStyle="Neutral">
  <tableColumns count="23">
    <tableColumn id="1" xr3:uid="{B29F466A-9D79-40B6-B132-8AA07E7C218B}" name="2002" dataDxfId="384"/>
    <tableColumn id="2" xr3:uid="{D4F06E2B-50C1-41AA-8EEA-AB6440B272E8}" name="2003" dataDxfId="383"/>
    <tableColumn id="3" xr3:uid="{DE074A83-2783-495B-BA1E-8776028C5B7F}" name="2004" dataDxfId="382"/>
    <tableColumn id="4" xr3:uid="{1E6D51A5-A98E-4873-8802-1F8A24BB20E0}" name="2005" dataDxfId="381"/>
    <tableColumn id="5" xr3:uid="{2C86365A-7018-460E-946A-5C1BA2987096}" name="2006" dataDxfId="380"/>
    <tableColumn id="6" xr3:uid="{7FE0FC77-9AE7-4396-BEA4-50FB10F42A98}" name="2007" dataDxfId="379"/>
    <tableColumn id="7" xr3:uid="{B24349B7-8580-4226-9725-F8BF32764525}" name="2008" dataDxfId="378"/>
    <tableColumn id="8" xr3:uid="{33BC6AE0-A8E8-434F-BF84-1A73A55EBD0A}" name="2009" dataDxfId="377"/>
    <tableColumn id="9" xr3:uid="{DD654723-D0F2-4864-834F-3CA33F2B49F3}" name="2010" dataDxfId="376"/>
    <tableColumn id="10" xr3:uid="{5723E87E-ACF3-4264-A131-513D85AA2638}" name="2011" dataDxfId="375"/>
    <tableColumn id="11" xr3:uid="{BBF3FCAF-6869-4F43-8B7A-1CC3CA055A93}" name="2012" dataDxfId="374"/>
    <tableColumn id="12" xr3:uid="{15BFCB7D-F197-4DB7-A529-8BD7FBB7B572}" name="2013" dataDxfId="373"/>
    <tableColumn id="13" xr3:uid="{CEC7BF67-CB08-4279-B668-C3B0CDBFB9C8}" name="2014" dataDxfId="372"/>
    <tableColumn id="14" xr3:uid="{E102AB32-E2EC-4FCB-9916-0F2806534FAD}" name="2015" dataDxfId="371"/>
    <tableColumn id="15" xr3:uid="{884DCAFA-831D-4B49-88DE-9A34FFD4846F}" name="2016" dataDxfId="370"/>
    <tableColumn id="16" xr3:uid="{4CBA4467-2330-4C4D-AD77-D436E25D59E9}" name="2017" dataDxfId="369"/>
    <tableColumn id="17" xr3:uid="{62B57FE2-1239-4385-8C58-03F42588FA3C}" name="2018" dataDxfId="368"/>
    <tableColumn id="18" xr3:uid="{BC90C8BC-36A1-4F75-A9DA-2C9151A84C42}" name="2019" dataDxfId="367"/>
    <tableColumn id="19" xr3:uid="{76A0DA28-AE98-4E0F-A1C4-8644D8F84FD5}" name="2020" dataDxfId="366"/>
    <tableColumn id="20" xr3:uid="{DB5D4DCF-F149-4538-8D71-2FAF5E4DA545}" name="2021" dataDxfId="365"/>
    <tableColumn id="21" xr3:uid="{2B17C4FC-9C3C-4350-9557-B1D71A44DC45}" name="2022" dataDxfId="364"/>
    <tableColumn id="22" xr3:uid="{0BF75865-C7C2-4BA0-AC1C-D404EFC46C1F}" name="2023" dataDxfId="363"/>
    <tableColumn id="23" xr3:uid="{24421517-1D59-449D-A440-B7CD122F0B0E}" name="2024" dataDxfId="362"/>
  </tableColumns>
  <tableStyleInfo name="TableStyleMedium2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0D6476C-31AC-443B-909C-D6A1F898E200}" name="Tabla34" displayName="Tabla34" ref="C4:Q32" totalsRowShown="0" headerRowDxfId="19" dataDxfId="18" headerRowBorderDxfId="16" tableBorderDxfId="17" totalsRowBorderDxfId="15" headerRowCellStyle="Neutral">
  <tableColumns count="15">
    <tableColumn id="1" xr3:uid="{1C75C6E7-3C7D-4733-8FAB-36472D73F072}" name="2002" dataDxfId="14"/>
    <tableColumn id="2" xr3:uid="{C3B692F1-0284-456E-A081-537FF8FB89E8}" name="2003" dataDxfId="13"/>
    <tableColumn id="3" xr3:uid="{8A9ADFA6-C1C2-4A6B-934D-FB41AAA0E520}" name="2004" dataDxfId="12"/>
    <tableColumn id="4" xr3:uid="{83B13CC3-D65B-48DE-B497-A49EADD1B0B9}" name="2005" dataDxfId="11"/>
    <tableColumn id="5" xr3:uid="{93B21FCB-E41D-4BC8-A38F-11F8E647FEEC}" name="2006" dataDxfId="10"/>
    <tableColumn id="6" xr3:uid="{8C96E9C2-A0A2-4913-BEDF-0739A674C266}" name="2007" dataDxfId="9"/>
    <tableColumn id="7" xr3:uid="{9B214256-75B5-4803-8D94-AECC237FCB77}" name="2008" dataDxfId="8"/>
    <tableColumn id="8" xr3:uid="{CF5B888F-0345-4886-B020-3BE01EC8C2DF}" name="2009" dataDxfId="7"/>
    <tableColumn id="9" xr3:uid="{8C045473-B77A-49E2-8E82-EBC6FEF61F26}" name="2010" dataDxfId="6"/>
    <tableColumn id="10" xr3:uid="{78A1306B-7C37-4E24-B2F2-0E0165995644}" name="2011" dataDxfId="5"/>
    <tableColumn id="11" xr3:uid="{500C0D60-0C5E-44B8-A1AA-D8DB4F50BE7D}" name="2012" dataDxfId="4"/>
    <tableColumn id="12" xr3:uid="{E2516664-8546-4D8B-A0AB-14F39A11AE80}" name="2013" dataDxfId="3"/>
    <tableColumn id="13" xr3:uid="{3FE85712-998C-4FE4-B84E-35ED2996FA91}" name="2014" dataDxfId="2"/>
    <tableColumn id="14" xr3:uid="{63EE1BB3-45B4-4922-AD11-7D870CD71356}" name="2015" dataDxfId="1"/>
    <tableColumn id="15" xr3:uid="{CD14BB41-65D6-4B19-88DD-0BE5193FE37A}" name="2016" dataDxfId="0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D42A88-E095-40BB-9B64-077B13806870}" name="Tabla10" displayName="Tabla10" ref="B3:I27" totalsRowShown="0" headerRowDxfId="361" dataDxfId="360" headerRowBorderDxfId="358" tableBorderDxfId="359" totalsRowBorderDxfId="357" headerRowCellStyle="Neutral">
  <tableColumns count="8">
    <tableColumn id="1" xr3:uid="{9C1EE37B-D7D8-44A1-A2EF-D53AFE2C9CDD}" name="Cuenta Pública" dataDxfId="356"/>
    <tableColumn id="2" xr3:uid="{BB8855B7-61B9-45FA-87B2-BDD3E47D7122}" name="Auditorías" dataDxfId="355"/>
    <tableColumn id="3" xr3:uid="{E1FCAB4B-B4FE-4CDF-A92A-7350EE281CFB}" name="Observaciones" dataDxfId="354"/>
    <tableColumn id="4" xr3:uid="{EADFABCC-93A0-443E-94B8-1FBE10198557}" name="Observaciones por Auditoría" dataDxfId="353">
      <calculatedColumnFormula>Tabla10[[#This Row],[Observaciones]]/Tabla10[[#This Row],[Auditorías]]</calculatedColumnFormula>
    </tableColumn>
    <tableColumn id="5" xr3:uid="{5E6C42E7-D1EE-4579-8E91-ED9CE610DE63}" name="Recomendaciones" dataDxfId="352"/>
    <tableColumn id="6" xr3:uid="{1AA587C2-88BD-41E2-8769-9E2763A48167}" name="Recomendaciones por Auditoría" dataDxfId="351">
      <calculatedColumnFormula>Tabla10[[#This Row],[Recomendaciones]]/Tabla10[[#This Row],[Auditorías]]</calculatedColumnFormula>
    </tableColumn>
    <tableColumn id="7" xr3:uid="{4D2C864E-DBEC-4F73-8576-9B517071557F}" name="Acciones" dataDxfId="350"/>
    <tableColumn id="8" xr3:uid="{C87A54C8-E545-408A-9A85-6DB3C473718C}" name="Acciones _x000a_por Auditorías" dataDxfId="349">
      <calculatedColumnFormula>Tabla10[[#This Row],[Acciones]]/Tabla10[[#This Row],[Auditorías]]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826C1D-B6CC-44CE-B51B-72A51D7D1B0B}" name="Tabla11" displayName="Tabla11" ref="C3:Y6" totalsRowShown="0" headerRowDxfId="348" dataDxfId="347" headerRowBorderDxfId="345" tableBorderDxfId="346" totalsRowBorderDxfId="344" headerRowCellStyle="Neutral">
  <tableColumns count="23">
    <tableColumn id="1" xr3:uid="{AEF4B797-6E4D-47A1-8874-6F2A5CF2CF6F}" name="2002" dataDxfId="343"/>
    <tableColumn id="2" xr3:uid="{3CC5BFC8-F260-4677-939C-1685C840524A}" name="2003" dataDxfId="342"/>
    <tableColumn id="3" xr3:uid="{A0CF6B81-5436-4B27-A774-FCF5829FA4F9}" name="2004" dataDxfId="341"/>
    <tableColumn id="4" xr3:uid="{B9A72A36-7CB6-4A2F-A0D7-EA610485AC64}" name="2005" dataDxfId="340"/>
    <tableColumn id="5" xr3:uid="{41C108DB-7563-4F45-A1F4-A7543FA5A20F}" name="2006" dataDxfId="339"/>
    <tableColumn id="6" xr3:uid="{E9607C3A-3DCB-4FFF-9A31-4FB2F027CDB7}" name="2007" dataDxfId="338"/>
    <tableColumn id="7" xr3:uid="{3BF0A494-94D5-4905-9E1D-5C1C0140F17E}" name="2008" dataDxfId="337"/>
    <tableColumn id="8" xr3:uid="{B5F4CAA6-4DD1-48F6-9806-6DC369492182}" name="2009" dataDxfId="336"/>
    <tableColumn id="9" xr3:uid="{1A685830-48A6-4230-A1B7-2AD42FDEE8C7}" name="2010" dataDxfId="335"/>
    <tableColumn id="10" xr3:uid="{9EECFCCC-8686-44EE-80AA-77CBE1CCE3B2}" name="2011" dataDxfId="334"/>
    <tableColumn id="11" xr3:uid="{65930C56-77A1-44A9-91C5-5A2F4038B723}" name="2012" dataDxfId="333"/>
    <tableColumn id="12" xr3:uid="{E2E0137D-217E-4361-ADC3-34C07A791AA3}" name="2013" dataDxfId="332"/>
    <tableColumn id="13" xr3:uid="{4874F9FC-BDBD-4C4B-8560-7D15612DA493}" name="2014" dataDxfId="331"/>
    <tableColumn id="14" xr3:uid="{46A56A4F-9FC8-49E0-AD5E-F9E5FA093FF6}" name="2015" dataDxfId="330"/>
    <tableColumn id="15" xr3:uid="{F99C337E-82BB-442A-B8CE-C32043A9C603}" name="2016" dataDxfId="329"/>
    <tableColumn id="16" xr3:uid="{ED03C408-6C19-4A62-BF4B-AC02CAE1D416}" name="2017" dataDxfId="328"/>
    <tableColumn id="17" xr3:uid="{A59FA8D4-1B95-404A-A2BB-B0E8531C688B}" name="2018" dataDxfId="327"/>
    <tableColumn id="18" xr3:uid="{5B016959-B7A3-4160-86E1-1228B24870E5}" name="2019" dataDxfId="326"/>
    <tableColumn id="19" xr3:uid="{0463B3CC-D2EE-4F6B-99A1-40BD2AE79DBE}" name="2020" dataDxfId="325"/>
    <tableColumn id="20" xr3:uid="{45E0BB87-E14B-49A9-904B-B92EBB1B6C44}" name="2021" dataDxfId="324"/>
    <tableColumn id="21" xr3:uid="{0D547C1B-D31B-4579-89E5-9C4C0A5415AF}" name="2022" dataDxfId="323"/>
    <tableColumn id="22" xr3:uid="{753BDBFE-4534-47E6-9903-0E826D60B248}" name="2023" dataDxfId="322"/>
    <tableColumn id="23" xr3:uid="{36711E17-FEBC-4C7D-8B3B-5E2658BF7C0D}" name="2024" dataDxfId="321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9ED7AC-3E88-440D-9F62-34640B289E9B}" name="Tabla1257" displayName="Tabla1257" ref="D4:Z13" totalsRowShown="0" headerRowDxfId="320" dataDxfId="319" headerRowBorderDxfId="317" tableBorderDxfId="318" totalsRowBorderDxfId="316" headerRowCellStyle="Neutral">
  <tableColumns count="23">
    <tableColumn id="1" xr3:uid="{F411A08F-28CA-44EE-81E8-FE9C463F34F5}" name="2002" dataDxfId="315"/>
    <tableColumn id="2" xr3:uid="{04269D23-5380-4C03-A75A-61C2A4A02876}" name="2003" dataDxfId="314"/>
    <tableColumn id="3" xr3:uid="{04EF43D4-098B-4719-B86A-C37C9A94CA71}" name="2004" dataDxfId="313"/>
    <tableColumn id="4" xr3:uid="{22419AAD-4C04-4D5A-9BD5-53670839DE00}" name="2005" dataDxfId="312"/>
    <tableColumn id="5" xr3:uid="{B1EC4393-2B17-4332-B0E9-E6CA3B8DBD10}" name="2006" dataDxfId="311"/>
    <tableColumn id="6" xr3:uid="{F781A0F8-BCD9-45C9-AC77-C649480C86A2}" name="2007" dataDxfId="310"/>
    <tableColumn id="7" xr3:uid="{815BF721-0778-48CF-9B57-2029B5216678}" name="2008" dataDxfId="309"/>
    <tableColumn id="8" xr3:uid="{57BDFD50-642A-4376-BCFA-BE80936077BF}" name="2009" dataDxfId="308"/>
    <tableColumn id="9" xr3:uid="{893BC9CC-818E-42FD-9BEF-A4A1EBFE304D}" name="2010" dataDxfId="307"/>
    <tableColumn id="10" xr3:uid="{0BBCDCFF-93F8-4F9F-AF11-22D9B78D4D91}" name="2011" dataDxfId="306"/>
    <tableColumn id="11" xr3:uid="{45299CC9-6B3D-49A9-ABF3-F479373035C0}" name="2012" dataDxfId="305"/>
    <tableColumn id="12" xr3:uid="{2BA619F5-F23D-427F-9DEB-13930B1D9D43}" name="2013" dataDxfId="304"/>
    <tableColumn id="13" xr3:uid="{025C3468-8884-44E2-A453-2A4B2094A1CD}" name="2014" dataDxfId="303"/>
    <tableColumn id="14" xr3:uid="{27D05D55-3F10-4A87-B6EB-F0A33C6483A2}" name="2015" dataDxfId="302"/>
    <tableColumn id="15" xr3:uid="{3CEC8352-75E2-4BE0-9A0E-EC3E1CE8F6FB}" name="2016" dataDxfId="301"/>
    <tableColumn id="16" xr3:uid="{52EBB533-B5D8-406F-985E-3E585FC60993}" name="2017" dataDxfId="300"/>
    <tableColumn id="17" xr3:uid="{745FB005-AEAE-4DA8-BDD8-E9C792F13019}" name="2018" dataDxfId="299"/>
    <tableColumn id="18" xr3:uid="{E89B9DC5-704E-431D-B8C3-48F8529FFCD9}" name="2019" dataDxfId="298"/>
    <tableColumn id="19" xr3:uid="{D77DFD1D-1460-445E-91B8-F3E9B40BC0A7}" name="2020" dataDxfId="297"/>
    <tableColumn id="20" xr3:uid="{8F2AE0C7-3FA1-4744-B430-0550D425AD18}" name="2021" dataDxfId="296"/>
    <tableColumn id="21" xr3:uid="{8A4B27D9-7CA1-4CDD-992E-1B45EE5F2468}" name="2022" dataDxfId="295"/>
    <tableColumn id="22" xr3:uid="{220BC109-09AC-4880-A6DE-34E6C90E59C9}" name="2023" dataDxfId="294"/>
    <tableColumn id="23" xr3:uid="{4F1244B2-5150-4289-931A-1A5EB76B76C7}" name="2024" dataDxfId="293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07804E-FDAF-4BE2-A159-ED36D35DC4B6}" name="Tabla17" displayName="Tabla17" ref="B3:F27" totalsRowShown="0" headerRowDxfId="292" dataDxfId="291" headerRowBorderDxfId="289" tableBorderDxfId="290" totalsRowBorderDxfId="288" headerRowCellStyle="Neutral">
  <autoFilter ref="B3:F27" xr:uid="{7C07804E-FDAF-4BE2-A159-ED36D35DC4B6}"/>
  <tableColumns count="5">
    <tableColumn id="1" xr3:uid="{66393C87-AB59-4F26-8CF4-EE7C09062DF3}" name="Cuenta Pública" dataDxfId="287"/>
    <tableColumn id="2" xr3:uid="{C79B56C6-2974-4F4A-9F37-456B62F3CBE6}" name="En proceso _x000a_de Notificación" dataDxfId="286"/>
    <tableColumn id="3" xr3:uid="{93287878-103E-4B37-91B4-EA9C2BDDA85A}" name="En Seguimiento" dataDxfId="285"/>
    <tableColumn id="4" xr3:uid="{10827387-1D83-4892-A4B4-89BE64A9DDA6}" name="Concluidas" dataDxfId="284"/>
    <tableColumn id="5" xr3:uid="{E861BE8E-732C-46EF-99D6-C7684175CC14}" name="Total" dataDxfId="283">
      <calculatedColumnFormula>SUM(Tabla17[[#This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F47EDD8-BCF8-4D08-97DB-086E671FF00A}" name="Tabla38" displayName="Tabla38" ref="C4:Y33" totalsRowShown="0" headerRowDxfId="282" dataDxfId="281" headerRowBorderDxfId="279" tableBorderDxfId="280" totalsRowBorderDxfId="278" headerRowCellStyle="Neutral">
  <tableColumns count="23">
    <tableColumn id="1" xr3:uid="{24148DA9-9DBC-4466-A8E7-E3558A0DE816}" name="2002" dataDxfId="277"/>
    <tableColumn id="2" xr3:uid="{C0A34B59-5EB6-46B0-A51C-AF29DDAAA21E}" name="2003" dataDxfId="276"/>
    <tableColumn id="3" xr3:uid="{DC07104B-B580-47A0-829E-D16CCE23E424}" name="2004" dataDxfId="275"/>
    <tableColumn id="4" xr3:uid="{AD07E05E-ECCC-4062-BB8B-6B10B465032D}" name="2005" dataDxfId="274"/>
    <tableColumn id="5" xr3:uid="{24BA410E-C2E7-4C14-8291-AE0902047C29}" name="2006" dataDxfId="273"/>
    <tableColumn id="6" xr3:uid="{0DA3D4AD-03C8-4A07-ADAE-65A883F0F19C}" name="2007" dataDxfId="272"/>
    <tableColumn id="7" xr3:uid="{8DEAD541-6A7D-4C99-BD07-D13309ECF395}" name="2008" dataDxfId="271"/>
    <tableColumn id="8" xr3:uid="{C240910A-B2C5-4D28-AB21-982A755F5DE1}" name="2009" dataDxfId="270"/>
    <tableColumn id="9" xr3:uid="{DCA7A719-C672-4A12-B4BD-634CED74AA05}" name="2010" dataDxfId="269"/>
    <tableColumn id="10" xr3:uid="{80D067DA-9E4D-41F1-A535-F30FD4E7CD55}" name="2011" dataDxfId="268"/>
    <tableColumn id="11" xr3:uid="{CC6E58F7-7857-444E-822C-3DCF560A0358}" name="2012" dataDxfId="267"/>
    <tableColumn id="12" xr3:uid="{819B9463-0DD4-4A7F-AC89-3C6C2976228D}" name="2013" dataDxfId="266"/>
    <tableColumn id="13" xr3:uid="{2F7CADDE-3C38-4D06-95AA-F473621D18DB}" name="2014" dataDxfId="265"/>
    <tableColumn id="14" xr3:uid="{DE44D888-8AE0-4892-9A65-CC21855D17E5}" name="2015" dataDxfId="264"/>
    <tableColumn id="15" xr3:uid="{E3F8AF7C-1DE1-4F3C-82E6-B65E6383B357}" name="2016" dataDxfId="263"/>
    <tableColumn id="16" xr3:uid="{C732C3B2-4A6C-4FEF-9DC1-83EE22AB439A}" name="2017" dataDxfId="262"/>
    <tableColumn id="17" xr3:uid="{136B9C9D-0710-42C5-9B3E-523A34638410}" name="2018" dataDxfId="261"/>
    <tableColumn id="18" xr3:uid="{5466708B-ED1F-41DB-BF76-B48E41D7A8FE}" name="2019" dataDxfId="260"/>
    <tableColumn id="19" xr3:uid="{137C6280-2E6C-4493-80AB-E88A1E3EDFEC}" name="2020" dataDxfId="259"/>
    <tableColumn id="20" xr3:uid="{154CD294-5538-4F51-A8BB-C2FDAA272600}" name="2021" dataDxfId="258"/>
    <tableColumn id="21" xr3:uid="{D97CD5C0-FE49-4EF5-9071-A9F016BFAE65}" name="2022" dataDxfId="257"/>
    <tableColumn id="22" xr3:uid="{3EC6907D-B997-45CF-9E4D-3138E72D7A72}" name="2023" dataDxfId="256"/>
    <tableColumn id="23" xr3:uid="{27356767-667D-4A03-B71F-64F6AE46F5C8}" name="2024" dataDxfId="255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16E1B3-43DF-42DC-833B-9DADAF69CAB0}" name="Tabla19" displayName="Tabla19" ref="B3:F27" totalsRowShown="0" headerRowDxfId="254" dataDxfId="253" headerRowBorderDxfId="251" tableBorderDxfId="252" totalsRowBorderDxfId="250" headerRowCellStyle="Neutral">
  <autoFilter ref="B3:F27" xr:uid="{0E16E1B3-43DF-42DC-833B-9DADAF69CAB0}"/>
  <tableColumns count="5">
    <tableColumn id="1" xr3:uid="{156141E3-5390-48C7-A9C0-01AA31FEE304}" name="Cuenta Pública" dataDxfId="249"/>
    <tableColumn id="2" xr3:uid="{E4215EC9-02F6-4438-B2E4-3923EFE874B5}" name="En proceso _x000a_de Notificación" dataDxfId="248"/>
    <tableColumn id="3" xr3:uid="{1119B9C4-A34B-4E6A-9366-DD993247212B}" name="En Seguimiento" dataDxfId="247"/>
    <tableColumn id="4" xr3:uid="{FCD512FA-508F-4083-9286-571B39AB17DC}" name="Concluidas" dataDxfId="246"/>
    <tableColumn id="5" xr3:uid="{E06ACEE5-1CC8-4232-8080-E33D2A14DA5F}" name="Total" dataDxfId="245" dataCellStyle="Neutral">
      <calculatedColumnFormula>SUM(Tabla19[[#This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A180B17-0F57-4FB7-B3F0-420C4B1755B6}" name="Tabla39" displayName="Tabla39" ref="C4:Y34" totalsRowShown="0" headerRowDxfId="244" dataDxfId="243" headerRowBorderDxfId="241" tableBorderDxfId="242" totalsRowBorderDxfId="240" headerRowCellStyle="Neutral">
  <tableColumns count="23">
    <tableColumn id="1" xr3:uid="{2D958655-097F-434A-B157-65D483166086}" name="2002" dataDxfId="239"/>
    <tableColumn id="2" xr3:uid="{D9301422-1E3E-4AB8-A564-8014F56475AB}" name="2003" dataDxfId="238"/>
    <tableColumn id="3" xr3:uid="{728471C2-A60A-4AA6-93DA-AC9061A4D8EC}" name="2004" dataDxfId="237"/>
    <tableColumn id="4" xr3:uid="{A4C507F5-EF87-44E7-86BD-2C7CCC5D692F}" name="2005" dataDxfId="236"/>
    <tableColumn id="5" xr3:uid="{3AC7CE88-1B77-475D-BE8D-766FC19F59E9}" name="2006" dataDxfId="235"/>
    <tableColumn id="6" xr3:uid="{D3D6CCB9-0D7C-469F-A572-CB062B908208}" name="2007" dataDxfId="234"/>
    <tableColumn id="7" xr3:uid="{4AA27ED9-D5A7-46D5-AB72-754268DDCDFE}" name="2008" dataDxfId="233"/>
    <tableColumn id="8" xr3:uid="{6F59CE0B-3894-49AA-AB9C-7F56E31115A3}" name="2009" dataDxfId="232"/>
    <tableColumn id="9" xr3:uid="{EA503725-A9ED-4796-AC6A-F38B92E061C1}" name="2010" dataDxfId="231"/>
    <tableColumn id="10" xr3:uid="{A6D75799-D28C-47D9-9BB3-5C5B4C4F995F}" name="2011" dataDxfId="230"/>
    <tableColumn id="11" xr3:uid="{8A3729D0-BAFB-41BB-9610-C2F8FBA21D79}" name="2012" dataDxfId="229"/>
    <tableColumn id="12" xr3:uid="{9AF06A8C-80B3-49B1-B21D-36C10C8B2465}" name="2013" dataDxfId="228"/>
    <tableColumn id="13" xr3:uid="{DC1A272B-705E-419F-A72A-C0CFF239C704}" name="2014" dataDxfId="227"/>
    <tableColumn id="14" xr3:uid="{B57B09C9-1C30-4392-AB34-413E07F80E74}" name="2015" dataDxfId="226"/>
    <tableColumn id="15" xr3:uid="{1EC3012C-520F-47D5-A62C-02CBD8772411}" name="2016" dataDxfId="225"/>
    <tableColumn id="16" xr3:uid="{F28B96C8-105D-477F-B0A7-C1A11425EB9D}" name="2017" dataDxfId="224"/>
    <tableColumn id="17" xr3:uid="{8C938F95-A68D-4585-8A5C-45A4931C3079}" name="2018" dataDxfId="223"/>
    <tableColumn id="18" xr3:uid="{F847C3C7-CA29-456F-B471-2AED73C3DCA8}" name="2019" dataDxfId="222"/>
    <tableColumn id="19" xr3:uid="{C71D2374-844B-4D91-9950-C00301C267F0}" name="2020" dataDxfId="221"/>
    <tableColumn id="20" xr3:uid="{BF20E84A-EC81-4313-B903-D1FF3D3F57C4}" name="2021" dataDxfId="220"/>
    <tableColumn id="21" xr3:uid="{FB0A7292-4590-4947-81AB-EF37727B0D07}" name="2022" dataDxfId="219"/>
    <tableColumn id="22" xr3:uid="{9CAFCBBC-B908-4670-A2C9-C789C3620A8B}" name="2023" dataDxfId="218"/>
    <tableColumn id="23" xr3:uid="{9F3E8AAA-0BA4-43A6-88D9-8114568227E9}" name="2024" dataDxfId="21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662F1-DFCD-43F2-8E99-7CB997C10932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2341-0853-4B59-8412-53E79395CAC0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42B6-0B3E-4961-9724-CF35A662F1FC}">
  <dimension ref="B3:F27"/>
  <sheetViews>
    <sheetView workbookViewId="0">
      <selection activeCell="B3" sqref="B3:F27"/>
    </sheetView>
  </sheetViews>
  <sheetFormatPr baseColWidth="10" defaultRowHeight="15" x14ac:dyDescent="0.25"/>
  <sheetData>
    <row r="3" spans="2:6" ht="60" x14ac:dyDescent="0.25">
      <c r="B3" s="84" t="s">
        <v>60</v>
      </c>
      <c r="C3" s="85" t="s">
        <v>78</v>
      </c>
      <c r="D3" s="85" t="s">
        <v>79</v>
      </c>
      <c r="E3" s="85" t="s">
        <v>80</v>
      </c>
      <c r="F3" s="86" t="s">
        <v>34</v>
      </c>
    </row>
    <row r="4" spans="2:6" x14ac:dyDescent="0.25">
      <c r="B4" s="87">
        <v>2002</v>
      </c>
      <c r="C4" s="88">
        <v>0</v>
      </c>
      <c r="D4" s="88">
        <v>0</v>
      </c>
      <c r="E4" s="89">
        <v>2227</v>
      </c>
      <c r="F4" s="90">
        <f>SUM(Tabla17[[#This Row],[En proceso 
de Notificación]:[Concluidas]])</f>
        <v>2227</v>
      </c>
    </row>
    <row r="5" spans="2:6" x14ac:dyDescent="0.25">
      <c r="B5" s="87">
        <v>2003</v>
      </c>
      <c r="C5" s="91">
        <v>0</v>
      </c>
      <c r="D5" s="91">
        <v>0</v>
      </c>
      <c r="E5" s="92">
        <v>1957</v>
      </c>
      <c r="F5" s="90">
        <f>SUM(Tabla17[[#This Row],[En proceso 
de Notificación]:[Concluidas]])</f>
        <v>1957</v>
      </c>
    </row>
    <row r="6" spans="2:6" x14ac:dyDescent="0.25">
      <c r="B6" s="87">
        <v>2004</v>
      </c>
      <c r="C6" s="88">
        <v>0</v>
      </c>
      <c r="D6" s="88">
        <v>0</v>
      </c>
      <c r="E6" s="89">
        <v>2554</v>
      </c>
      <c r="F6" s="90">
        <f>SUM(Tabla17[[#This Row],[En proceso 
de Notificación]:[Concluidas]])</f>
        <v>2554</v>
      </c>
    </row>
    <row r="7" spans="2:6" x14ac:dyDescent="0.25">
      <c r="B7" s="87">
        <v>2005</v>
      </c>
      <c r="C7" s="91">
        <v>0</v>
      </c>
      <c r="D7" s="91">
        <v>0</v>
      </c>
      <c r="E7" s="92">
        <v>3810</v>
      </c>
      <c r="F7" s="90">
        <f>SUM(Tabla17[[#This Row],[En proceso 
de Notificación]:[Concluidas]])</f>
        <v>3810</v>
      </c>
    </row>
    <row r="8" spans="2:6" x14ac:dyDescent="0.25">
      <c r="B8" s="87">
        <v>2006</v>
      </c>
      <c r="C8" s="88">
        <v>0</v>
      </c>
      <c r="D8" s="88">
        <v>0</v>
      </c>
      <c r="E8" s="89">
        <v>6078</v>
      </c>
      <c r="F8" s="90">
        <f>SUM(Tabla17[[#This Row],[En proceso 
de Notificación]:[Concluidas]])</f>
        <v>6078</v>
      </c>
    </row>
    <row r="9" spans="2:6" x14ac:dyDescent="0.25">
      <c r="B9" s="87">
        <v>2007</v>
      </c>
      <c r="C9" s="91">
        <v>0</v>
      </c>
      <c r="D9" s="91">
        <v>0</v>
      </c>
      <c r="E9" s="92">
        <v>6176</v>
      </c>
      <c r="F9" s="90">
        <f>SUM(Tabla17[[#This Row],[En proceso 
de Notificación]:[Concluidas]])</f>
        <v>6176</v>
      </c>
    </row>
    <row r="10" spans="2:6" x14ac:dyDescent="0.25">
      <c r="B10" s="87">
        <v>2008</v>
      </c>
      <c r="C10" s="88">
        <v>0</v>
      </c>
      <c r="D10" s="88">
        <v>0</v>
      </c>
      <c r="E10" s="89">
        <v>5105</v>
      </c>
      <c r="F10" s="90">
        <f>SUM(Tabla17[[#This Row],[En proceso 
de Notificación]:[Concluidas]])</f>
        <v>5105</v>
      </c>
    </row>
    <row r="11" spans="2:6" x14ac:dyDescent="0.25">
      <c r="B11" s="87">
        <v>2009</v>
      </c>
      <c r="C11" s="91">
        <v>0</v>
      </c>
      <c r="D11" s="91">
        <v>0</v>
      </c>
      <c r="E11" s="92">
        <v>4568</v>
      </c>
      <c r="F11" s="90">
        <f>SUM(Tabla17[[#This Row],[En proceso 
de Notificación]:[Concluidas]])</f>
        <v>4568</v>
      </c>
    </row>
    <row r="12" spans="2:6" x14ac:dyDescent="0.25">
      <c r="B12" s="87">
        <v>2010</v>
      </c>
      <c r="C12" s="88">
        <v>0</v>
      </c>
      <c r="D12" s="88">
        <v>0</v>
      </c>
      <c r="E12" s="89">
        <v>5734</v>
      </c>
      <c r="F12" s="90">
        <f>SUM(Tabla17[[#This Row],[En proceso 
de Notificación]:[Concluidas]])</f>
        <v>5734</v>
      </c>
    </row>
    <row r="13" spans="2:6" x14ac:dyDescent="0.25">
      <c r="B13" s="87">
        <v>2011</v>
      </c>
      <c r="C13" s="91">
        <v>0</v>
      </c>
      <c r="D13" s="91">
        <v>0</v>
      </c>
      <c r="E13" s="92">
        <v>5312</v>
      </c>
      <c r="F13" s="90">
        <f>SUM(Tabla17[[#This Row],[En proceso 
de Notificación]:[Concluidas]])</f>
        <v>5312</v>
      </c>
    </row>
    <row r="14" spans="2:6" x14ac:dyDescent="0.25">
      <c r="B14" s="87">
        <v>2012</v>
      </c>
      <c r="C14" s="88">
        <v>0</v>
      </c>
      <c r="D14" s="88">
        <v>0</v>
      </c>
      <c r="E14" s="89">
        <v>5215</v>
      </c>
      <c r="F14" s="90">
        <f>SUM(Tabla17[[#This Row],[En proceso 
de Notificación]:[Concluidas]])</f>
        <v>5215</v>
      </c>
    </row>
    <row r="15" spans="2:6" x14ac:dyDescent="0.25">
      <c r="B15" s="87">
        <v>2013</v>
      </c>
      <c r="C15" s="91">
        <v>0</v>
      </c>
      <c r="D15" s="91">
        <v>0</v>
      </c>
      <c r="E15" s="92">
        <v>5299</v>
      </c>
      <c r="F15" s="90">
        <f>SUM(Tabla17[[#This Row],[En proceso 
de Notificación]:[Concluidas]])</f>
        <v>5299</v>
      </c>
    </row>
    <row r="16" spans="2:6" x14ac:dyDescent="0.25">
      <c r="B16" s="87">
        <v>2014</v>
      </c>
      <c r="C16" s="88">
        <v>0</v>
      </c>
      <c r="D16" s="88">
        <v>0</v>
      </c>
      <c r="E16" s="89">
        <v>2234</v>
      </c>
      <c r="F16" s="90">
        <f>SUM(Tabla17[[#This Row],[En proceso 
de Notificación]:[Concluidas]])</f>
        <v>2234</v>
      </c>
    </row>
    <row r="17" spans="2:6" x14ac:dyDescent="0.25">
      <c r="B17" s="87">
        <v>2015</v>
      </c>
      <c r="C17" s="91">
        <v>0</v>
      </c>
      <c r="D17" s="91">
        <v>0</v>
      </c>
      <c r="E17" s="92">
        <v>2772</v>
      </c>
      <c r="F17" s="90">
        <f>SUM(Tabla17[[#This Row],[En proceso 
de Notificación]:[Concluidas]])</f>
        <v>2772</v>
      </c>
    </row>
    <row r="18" spans="2:6" x14ac:dyDescent="0.25">
      <c r="B18" s="87">
        <v>2016</v>
      </c>
      <c r="C18" s="88">
        <v>0</v>
      </c>
      <c r="D18" s="88">
        <v>0</v>
      </c>
      <c r="E18" s="89">
        <v>3278</v>
      </c>
      <c r="F18" s="90">
        <f>SUM(Tabla17[[#This Row],[En proceso 
de Notificación]:[Concluidas]])</f>
        <v>3278</v>
      </c>
    </row>
    <row r="19" spans="2:6" x14ac:dyDescent="0.25">
      <c r="B19" s="87">
        <v>2017</v>
      </c>
      <c r="C19" s="91">
        <v>0</v>
      </c>
      <c r="D19" s="91">
        <v>0</v>
      </c>
      <c r="E19" s="92">
        <v>2415</v>
      </c>
      <c r="F19" s="90">
        <f>SUM(Tabla17[[#This Row],[En proceso 
de Notificación]:[Concluidas]])</f>
        <v>2415</v>
      </c>
    </row>
    <row r="20" spans="2:6" x14ac:dyDescent="0.25">
      <c r="B20" s="87">
        <v>2018</v>
      </c>
      <c r="C20" s="88">
        <v>0</v>
      </c>
      <c r="D20" s="88">
        <v>0</v>
      </c>
      <c r="E20" s="89">
        <v>2225</v>
      </c>
      <c r="F20" s="90">
        <f>SUM(Tabla17[[#This Row],[En proceso 
de Notificación]:[Concluidas]])</f>
        <v>2225</v>
      </c>
    </row>
    <row r="21" spans="2:6" x14ac:dyDescent="0.25">
      <c r="B21" s="87">
        <v>2019</v>
      </c>
      <c r="C21" s="91">
        <v>0</v>
      </c>
      <c r="D21" s="91">
        <v>0</v>
      </c>
      <c r="E21" s="92">
        <v>1737</v>
      </c>
      <c r="F21" s="90">
        <f>SUM(Tabla17[[#This Row],[En proceso 
de Notificación]:[Concluidas]])</f>
        <v>1737</v>
      </c>
    </row>
    <row r="22" spans="2:6" x14ac:dyDescent="0.25">
      <c r="B22" s="87">
        <v>2020</v>
      </c>
      <c r="C22" s="88">
        <v>0</v>
      </c>
      <c r="D22" s="88">
        <v>0</v>
      </c>
      <c r="E22" s="89">
        <v>1598</v>
      </c>
      <c r="F22" s="90">
        <f>SUM(Tabla17[[#This Row],[En proceso 
de Notificación]:[Concluidas]])</f>
        <v>1598</v>
      </c>
    </row>
    <row r="23" spans="2:6" x14ac:dyDescent="0.25">
      <c r="B23" s="87">
        <v>2021</v>
      </c>
      <c r="C23" s="91">
        <v>0</v>
      </c>
      <c r="D23" s="91">
        <v>6</v>
      </c>
      <c r="E23" s="92">
        <v>1795</v>
      </c>
      <c r="F23" s="90">
        <f>SUM(Tabla17[[#This Row],[En proceso 
de Notificación]:[Concluidas]])</f>
        <v>1801</v>
      </c>
    </row>
    <row r="24" spans="2:6" x14ac:dyDescent="0.25">
      <c r="B24" s="87">
        <v>2022</v>
      </c>
      <c r="C24" s="88">
        <v>0</v>
      </c>
      <c r="D24" s="88">
        <v>0</v>
      </c>
      <c r="E24" s="89">
        <v>1280</v>
      </c>
      <c r="F24" s="90">
        <f>SUM(Tabla17[[#This Row],[En proceso 
de Notificación]:[Concluidas]])</f>
        <v>1280</v>
      </c>
    </row>
    <row r="25" spans="2:6" x14ac:dyDescent="0.25">
      <c r="B25" s="87">
        <v>2023</v>
      </c>
      <c r="C25" s="91">
        <v>0</v>
      </c>
      <c r="D25" s="91">
        <v>0</v>
      </c>
      <c r="E25" s="92">
        <v>1066</v>
      </c>
      <c r="F25" s="90">
        <f>SUM(Tabla17[[#This Row],[En proceso 
de Notificación]:[Concluidas]])</f>
        <v>1066</v>
      </c>
    </row>
    <row r="26" spans="2:6" x14ac:dyDescent="0.25">
      <c r="B26" s="87">
        <v>2024</v>
      </c>
      <c r="C26" s="88">
        <v>160</v>
      </c>
      <c r="D26" s="88">
        <v>239</v>
      </c>
      <c r="E26" s="89">
        <v>171</v>
      </c>
      <c r="F26" s="90">
        <f>SUM(Tabla17[[#This Row],[En proceso 
de Notificación]:[Concluidas]])</f>
        <v>570</v>
      </c>
    </row>
    <row r="27" spans="2:6" x14ac:dyDescent="0.25">
      <c r="B27" s="93" t="s">
        <v>34</v>
      </c>
      <c r="C27" s="94">
        <f>SUBTOTAL(109,C4:C26)</f>
        <v>160</v>
      </c>
      <c r="D27" s="94">
        <f>SUBTOTAL(109,D4:D26)</f>
        <v>245</v>
      </c>
      <c r="E27" s="95">
        <f>SUBTOTAL(109,E4:E26)</f>
        <v>74606</v>
      </c>
      <c r="F27" s="90">
        <f>SUM(Tabla17[[#This Row],[En proceso 
de Notificación]:[Concluidas]])</f>
        <v>75011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AFB3-52B4-4D1D-9798-FC94DAD5FD28}">
  <dimension ref="B3:Z34"/>
  <sheetViews>
    <sheetView workbookViewId="0">
      <selection activeCell="B3" sqref="B3:Z34"/>
    </sheetView>
  </sheetViews>
  <sheetFormatPr baseColWidth="10" defaultRowHeight="15" x14ac:dyDescent="0.25"/>
  <sheetData>
    <row r="3" spans="2:26" x14ac:dyDescent="0.25">
      <c r="B3" s="96" t="s">
        <v>0</v>
      </c>
      <c r="C3" s="97" t="s">
        <v>35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9"/>
      <c r="Z3" s="100" t="s">
        <v>34</v>
      </c>
    </row>
    <row r="4" spans="2:26" x14ac:dyDescent="0.25">
      <c r="B4" s="96"/>
      <c r="C4" s="101" t="s">
        <v>36</v>
      </c>
      <c r="D4" s="102" t="s">
        <v>37</v>
      </c>
      <c r="E4" s="102" t="s">
        <v>38</v>
      </c>
      <c r="F4" s="102" t="s">
        <v>39</v>
      </c>
      <c r="G4" s="102" t="s">
        <v>40</v>
      </c>
      <c r="H4" s="102" t="s">
        <v>41</v>
      </c>
      <c r="I4" s="102" t="s">
        <v>42</v>
      </c>
      <c r="J4" s="102" t="s">
        <v>43</v>
      </c>
      <c r="K4" s="102" t="s">
        <v>44</v>
      </c>
      <c r="L4" s="102" t="s">
        <v>45</v>
      </c>
      <c r="M4" s="102" t="s">
        <v>46</v>
      </c>
      <c r="N4" s="102" t="s">
        <v>47</v>
      </c>
      <c r="O4" s="102" t="s">
        <v>48</v>
      </c>
      <c r="P4" s="102" t="s">
        <v>49</v>
      </c>
      <c r="Q4" s="102" t="s">
        <v>50</v>
      </c>
      <c r="R4" s="102" t="s">
        <v>51</v>
      </c>
      <c r="S4" s="102" t="s">
        <v>52</v>
      </c>
      <c r="T4" s="102" t="s">
        <v>53</v>
      </c>
      <c r="U4" s="102" t="s">
        <v>54</v>
      </c>
      <c r="V4" s="103" t="s">
        <v>55</v>
      </c>
      <c r="W4" s="102" t="s">
        <v>56</v>
      </c>
      <c r="X4" s="102" t="s">
        <v>57</v>
      </c>
      <c r="Y4" s="102" t="s">
        <v>58</v>
      </c>
      <c r="Z4" s="100"/>
    </row>
    <row r="5" spans="2:26" ht="36" x14ac:dyDescent="0.25">
      <c r="B5" s="104" t="s">
        <v>4</v>
      </c>
      <c r="C5" s="105">
        <v>414</v>
      </c>
      <c r="D5" s="106">
        <v>381</v>
      </c>
      <c r="E5" s="106">
        <v>855</v>
      </c>
      <c r="F5" s="106">
        <v>2138</v>
      </c>
      <c r="G5" s="106">
        <v>3745</v>
      </c>
      <c r="H5" s="106">
        <v>3981</v>
      </c>
      <c r="I5" s="106">
        <v>3400</v>
      </c>
      <c r="J5" s="106">
        <v>2847</v>
      </c>
      <c r="K5" s="106">
        <v>3930</v>
      </c>
      <c r="L5" s="106">
        <v>3596</v>
      </c>
      <c r="M5" s="106">
        <v>3712</v>
      </c>
      <c r="N5" s="106">
        <v>3721</v>
      </c>
      <c r="O5" s="106">
        <v>756</v>
      </c>
      <c r="P5" s="106">
        <v>818</v>
      </c>
      <c r="Q5" s="106">
        <v>1399</v>
      </c>
      <c r="R5" s="106">
        <v>978</v>
      </c>
      <c r="S5" s="106">
        <v>714</v>
      </c>
      <c r="T5" s="106">
        <v>370</v>
      </c>
      <c r="U5" s="106">
        <v>433</v>
      </c>
      <c r="V5" s="107">
        <v>693</v>
      </c>
      <c r="W5" s="108">
        <v>524</v>
      </c>
      <c r="X5" s="108">
        <v>421</v>
      </c>
      <c r="Y5" s="108">
        <v>133</v>
      </c>
      <c r="Z5" s="109">
        <f>SUM(Tabla38[[#This Row],[2002]:[2024]])</f>
        <v>39959</v>
      </c>
    </row>
    <row r="6" spans="2:26" ht="36" x14ac:dyDescent="0.25">
      <c r="B6" s="104" t="s">
        <v>6</v>
      </c>
      <c r="C6" s="110">
        <v>257</v>
      </c>
      <c r="D6" s="111">
        <v>264</v>
      </c>
      <c r="E6" s="111">
        <v>339</v>
      </c>
      <c r="F6" s="111">
        <v>190</v>
      </c>
      <c r="G6" s="111">
        <v>266</v>
      </c>
      <c r="H6" s="111">
        <v>291</v>
      </c>
      <c r="I6" s="111">
        <v>121</v>
      </c>
      <c r="J6" s="111">
        <v>204</v>
      </c>
      <c r="K6" s="111">
        <v>270</v>
      </c>
      <c r="L6" s="111">
        <v>301</v>
      </c>
      <c r="M6" s="111">
        <v>293</v>
      </c>
      <c r="N6" s="111">
        <v>185</v>
      </c>
      <c r="O6" s="111">
        <v>144</v>
      </c>
      <c r="P6" s="111">
        <v>298</v>
      </c>
      <c r="Q6" s="111">
        <v>307</v>
      </c>
      <c r="R6" s="111">
        <v>178</v>
      </c>
      <c r="S6" s="111">
        <v>337</v>
      </c>
      <c r="T6" s="111">
        <v>241</v>
      </c>
      <c r="U6" s="111">
        <v>162</v>
      </c>
      <c r="V6" s="112">
        <v>158</v>
      </c>
      <c r="W6" s="111">
        <v>95</v>
      </c>
      <c r="X6" s="111">
        <v>141</v>
      </c>
      <c r="Y6" s="111">
        <v>82</v>
      </c>
      <c r="Z6" s="109">
        <f>SUM(Tabla38[[#This Row],[2002]:[2024]])</f>
        <v>5124</v>
      </c>
    </row>
    <row r="7" spans="2:26" ht="36" x14ac:dyDescent="0.25">
      <c r="B7" s="104" t="s">
        <v>5</v>
      </c>
      <c r="C7" s="105">
        <v>189</v>
      </c>
      <c r="D7" s="106">
        <v>216</v>
      </c>
      <c r="E7" s="106">
        <v>208</v>
      </c>
      <c r="F7" s="106">
        <v>227</v>
      </c>
      <c r="G7" s="106">
        <v>336</v>
      </c>
      <c r="H7" s="106">
        <v>228</v>
      </c>
      <c r="I7" s="106">
        <v>219</v>
      </c>
      <c r="J7" s="106">
        <v>262</v>
      </c>
      <c r="K7" s="106">
        <v>222</v>
      </c>
      <c r="L7" s="106">
        <v>206</v>
      </c>
      <c r="M7" s="106">
        <v>228</v>
      </c>
      <c r="N7" s="106">
        <v>191</v>
      </c>
      <c r="O7" s="106">
        <v>246</v>
      </c>
      <c r="P7" s="106">
        <v>293</v>
      </c>
      <c r="Q7" s="106">
        <v>298</v>
      </c>
      <c r="R7" s="106">
        <v>308</v>
      </c>
      <c r="S7" s="106">
        <v>142</v>
      </c>
      <c r="T7" s="106">
        <v>126</v>
      </c>
      <c r="U7" s="106">
        <v>110</v>
      </c>
      <c r="V7" s="107">
        <v>76</v>
      </c>
      <c r="W7" s="106">
        <v>93</v>
      </c>
      <c r="X7" s="106">
        <v>45</v>
      </c>
      <c r="Y7" s="106">
        <v>31</v>
      </c>
      <c r="Z7" s="109">
        <f>SUM(Tabla38[[#This Row],[2002]:[2024]])</f>
        <v>4500</v>
      </c>
    </row>
    <row r="8" spans="2:26" ht="60" x14ac:dyDescent="0.25">
      <c r="B8" s="104" t="s">
        <v>9</v>
      </c>
      <c r="C8" s="110">
        <v>160</v>
      </c>
      <c r="D8" s="111">
        <v>102</v>
      </c>
      <c r="E8" s="111">
        <v>157</v>
      </c>
      <c r="F8" s="111">
        <v>124</v>
      </c>
      <c r="G8" s="111">
        <v>168</v>
      </c>
      <c r="H8" s="111">
        <v>168</v>
      </c>
      <c r="I8" s="111">
        <v>124</v>
      </c>
      <c r="J8" s="111">
        <v>204</v>
      </c>
      <c r="K8" s="111">
        <v>177</v>
      </c>
      <c r="L8" s="111">
        <v>91</v>
      </c>
      <c r="M8" s="111">
        <v>109</v>
      </c>
      <c r="N8" s="111">
        <v>107</v>
      </c>
      <c r="O8" s="111">
        <v>111</v>
      </c>
      <c r="P8" s="111">
        <v>117</v>
      </c>
      <c r="Q8" s="111">
        <v>156</v>
      </c>
      <c r="R8" s="111">
        <v>119</v>
      </c>
      <c r="S8" s="111">
        <v>138</v>
      </c>
      <c r="T8" s="111">
        <v>99</v>
      </c>
      <c r="U8" s="111">
        <v>81</v>
      </c>
      <c r="V8" s="112">
        <v>56</v>
      </c>
      <c r="W8" s="111">
        <v>31</v>
      </c>
      <c r="X8" s="111">
        <v>18</v>
      </c>
      <c r="Y8" s="111">
        <v>24</v>
      </c>
      <c r="Z8" s="109">
        <f>SUM(Tabla38[[#This Row],[2002]:[2024]])</f>
        <v>2641</v>
      </c>
    </row>
    <row r="9" spans="2:26" ht="60" x14ac:dyDescent="0.25">
      <c r="B9" s="104" t="s">
        <v>8</v>
      </c>
      <c r="C9" s="105">
        <v>168</v>
      </c>
      <c r="D9" s="106">
        <v>160</v>
      </c>
      <c r="E9" s="106">
        <v>202</v>
      </c>
      <c r="F9" s="106">
        <v>306</v>
      </c>
      <c r="G9" s="106">
        <v>430</v>
      </c>
      <c r="H9" s="106">
        <v>219</v>
      </c>
      <c r="I9" s="106">
        <v>60</v>
      </c>
      <c r="J9" s="106">
        <v>71</v>
      </c>
      <c r="K9" s="106">
        <v>60</v>
      </c>
      <c r="L9" s="106">
        <v>77</v>
      </c>
      <c r="M9" s="106">
        <v>49</v>
      </c>
      <c r="N9" s="106">
        <v>167</v>
      </c>
      <c r="O9" s="106">
        <v>133</v>
      </c>
      <c r="P9" s="106">
        <v>111</v>
      </c>
      <c r="Q9" s="106">
        <v>137</v>
      </c>
      <c r="R9" s="106">
        <v>68</v>
      </c>
      <c r="S9" s="106">
        <v>50</v>
      </c>
      <c r="T9" s="106">
        <v>33</v>
      </c>
      <c r="U9" s="106">
        <v>32</v>
      </c>
      <c r="V9" s="107">
        <v>30</v>
      </c>
      <c r="W9" s="106">
        <v>14</v>
      </c>
      <c r="X9" s="106">
        <v>12</v>
      </c>
      <c r="Y9" s="106">
        <v>15</v>
      </c>
      <c r="Z9" s="109">
        <f>SUM(Tabla38[[#This Row],[2002]:[2024]])</f>
        <v>2604</v>
      </c>
    </row>
    <row r="10" spans="2:26" ht="48" x14ac:dyDescent="0.25">
      <c r="B10" s="104" t="s">
        <v>13</v>
      </c>
      <c r="C10" s="110">
        <v>73</v>
      </c>
      <c r="D10" s="111">
        <v>56</v>
      </c>
      <c r="E10" s="111">
        <v>77</v>
      </c>
      <c r="F10" s="111">
        <v>170</v>
      </c>
      <c r="G10" s="111">
        <v>143</v>
      </c>
      <c r="H10" s="111">
        <v>92</v>
      </c>
      <c r="I10" s="111">
        <v>187</v>
      </c>
      <c r="J10" s="111">
        <v>89</v>
      </c>
      <c r="K10" s="111">
        <v>104</v>
      </c>
      <c r="L10" s="111">
        <v>121</v>
      </c>
      <c r="M10" s="111">
        <v>167</v>
      </c>
      <c r="N10" s="111">
        <v>89</v>
      </c>
      <c r="O10" s="111">
        <v>113</v>
      </c>
      <c r="P10" s="111">
        <v>90</v>
      </c>
      <c r="Q10" s="111">
        <v>115</v>
      </c>
      <c r="R10" s="111">
        <v>105</v>
      </c>
      <c r="S10" s="111">
        <v>134</v>
      </c>
      <c r="T10" s="111">
        <v>101</v>
      </c>
      <c r="U10" s="111">
        <v>126</v>
      </c>
      <c r="V10" s="112">
        <v>79</v>
      </c>
      <c r="W10" s="111">
        <v>63</v>
      </c>
      <c r="X10" s="111">
        <v>36</v>
      </c>
      <c r="Y10" s="111">
        <v>10</v>
      </c>
      <c r="Z10" s="109">
        <f>SUM(Tabla38[[#This Row],[2002]:[2024]])</f>
        <v>2340</v>
      </c>
    </row>
    <row r="11" spans="2:26" ht="24" x14ac:dyDescent="0.25">
      <c r="B11" s="104" t="s">
        <v>10</v>
      </c>
      <c r="C11" s="105">
        <v>74</v>
      </c>
      <c r="D11" s="106">
        <v>39</v>
      </c>
      <c r="E11" s="106">
        <v>88</v>
      </c>
      <c r="F11" s="106">
        <v>91</v>
      </c>
      <c r="G11" s="106">
        <v>124</v>
      </c>
      <c r="H11" s="106">
        <v>159</v>
      </c>
      <c r="I11" s="106">
        <v>165</v>
      </c>
      <c r="J11" s="106">
        <v>165</v>
      </c>
      <c r="K11" s="106">
        <v>127</v>
      </c>
      <c r="L11" s="106">
        <v>165</v>
      </c>
      <c r="M11" s="106">
        <v>81</v>
      </c>
      <c r="N11" s="106">
        <v>105</v>
      </c>
      <c r="O11" s="106">
        <v>92</v>
      </c>
      <c r="P11" s="106">
        <v>42</v>
      </c>
      <c r="Q11" s="106">
        <v>128</v>
      </c>
      <c r="R11" s="106">
        <v>80</v>
      </c>
      <c r="S11" s="106">
        <v>93</v>
      </c>
      <c r="T11" s="106">
        <v>62</v>
      </c>
      <c r="U11" s="106">
        <v>57</v>
      </c>
      <c r="V11" s="107">
        <v>37</v>
      </c>
      <c r="W11" s="106">
        <v>55</v>
      </c>
      <c r="X11" s="106">
        <v>45</v>
      </c>
      <c r="Y11" s="106">
        <v>25</v>
      </c>
      <c r="Z11" s="109">
        <f>SUM(Tabla38[[#This Row],[2002]:[2024]])</f>
        <v>2099</v>
      </c>
    </row>
    <row r="12" spans="2:26" x14ac:dyDescent="0.25">
      <c r="B12" s="104" t="s">
        <v>11</v>
      </c>
      <c r="C12" s="110">
        <v>48</v>
      </c>
      <c r="D12" s="111">
        <v>27</v>
      </c>
      <c r="E12" s="111">
        <v>38</v>
      </c>
      <c r="F12" s="111">
        <v>61</v>
      </c>
      <c r="G12" s="111">
        <v>90</v>
      </c>
      <c r="H12" s="111">
        <v>38</v>
      </c>
      <c r="I12" s="111">
        <v>120</v>
      </c>
      <c r="J12" s="111">
        <v>103</v>
      </c>
      <c r="K12" s="111">
        <v>181</v>
      </c>
      <c r="L12" s="111">
        <v>193</v>
      </c>
      <c r="M12" s="111">
        <v>92</v>
      </c>
      <c r="N12" s="111">
        <v>154</v>
      </c>
      <c r="O12" s="111">
        <v>83</v>
      </c>
      <c r="P12" s="111">
        <v>82</v>
      </c>
      <c r="Q12" s="111">
        <v>95</v>
      </c>
      <c r="R12" s="111">
        <v>104</v>
      </c>
      <c r="S12" s="111">
        <v>108</v>
      </c>
      <c r="T12" s="111">
        <v>70</v>
      </c>
      <c r="U12" s="111">
        <v>106</v>
      </c>
      <c r="V12" s="112">
        <v>121</v>
      </c>
      <c r="W12" s="111">
        <v>30</v>
      </c>
      <c r="X12" s="111">
        <v>31</v>
      </c>
      <c r="Y12" s="111">
        <v>41</v>
      </c>
      <c r="Z12" s="109">
        <f>SUM(Tabla38[[#This Row],[2002]:[2024]])</f>
        <v>2016</v>
      </c>
    </row>
    <row r="13" spans="2:26" ht="60" x14ac:dyDescent="0.25">
      <c r="B13" s="104" t="s">
        <v>7</v>
      </c>
      <c r="C13" s="105">
        <v>82</v>
      </c>
      <c r="D13" s="106">
        <v>84</v>
      </c>
      <c r="E13" s="106">
        <v>142</v>
      </c>
      <c r="F13" s="106">
        <v>85</v>
      </c>
      <c r="G13" s="106">
        <v>67</v>
      </c>
      <c r="H13" s="106">
        <v>92</v>
      </c>
      <c r="I13" s="106">
        <v>89</v>
      </c>
      <c r="J13" s="106">
        <v>80</v>
      </c>
      <c r="K13" s="106">
        <v>40</v>
      </c>
      <c r="L13" s="106">
        <v>86</v>
      </c>
      <c r="M13" s="106">
        <v>74</v>
      </c>
      <c r="N13" s="106">
        <v>52</v>
      </c>
      <c r="O13" s="106">
        <v>65</v>
      </c>
      <c r="P13" s="106">
        <v>20</v>
      </c>
      <c r="Q13" s="106">
        <v>77</v>
      </c>
      <c r="R13" s="106">
        <v>27</v>
      </c>
      <c r="S13" s="106">
        <v>25</v>
      </c>
      <c r="T13" s="106">
        <v>19</v>
      </c>
      <c r="U13" s="106">
        <v>55</v>
      </c>
      <c r="V13" s="107">
        <v>146</v>
      </c>
      <c r="W13" s="106">
        <v>93</v>
      </c>
      <c r="X13" s="106">
        <v>109</v>
      </c>
      <c r="Y13" s="106">
        <v>27</v>
      </c>
      <c r="Z13" s="109">
        <f>SUM(Tabla38[[#This Row],[2002]:[2024]])</f>
        <v>1636</v>
      </c>
    </row>
    <row r="14" spans="2:26" ht="48" x14ac:dyDescent="0.25">
      <c r="B14" s="104" t="s">
        <v>12</v>
      </c>
      <c r="C14" s="110">
        <v>143</v>
      </c>
      <c r="D14" s="111">
        <v>50</v>
      </c>
      <c r="E14" s="111">
        <v>73</v>
      </c>
      <c r="F14" s="111">
        <v>68</v>
      </c>
      <c r="G14" s="111">
        <v>56</v>
      </c>
      <c r="H14" s="111">
        <v>89</v>
      </c>
      <c r="I14" s="111">
        <v>49</v>
      </c>
      <c r="J14" s="111">
        <v>57</v>
      </c>
      <c r="K14" s="111">
        <v>75</v>
      </c>
      <c r="L14" s="111">
        <v>35</v>
      </c>
      <c r="M14" s="111">
        <v>40</v>
      </c>
      <c r="N14" s="111">
        <v>80</v>
      </c>
      <c r="O14" s="111">
        <v>51</v>
      </c>
      <c r="P14" s="111">
        <v>45</v>
      </c>
      <c r="Q14" s="111">
        <v>43</v>
      </c>
      <c r="R14" s="111">
        <v>18</v>
      </c>
      <c r="S14" s="111">
        <v>30</v>
      </c>
      <c r="T14" s="111">
        <v>11</v>
      </c>
      <c r="U14" s="111">
        <v>24</v>
      </c>
      <c r="V14" s="112">
        <v>5</v>
      </c>
      <c r="W14" s="111">
        <v>72</v>
      </c>
      <c r="X14" s="111">
        <v>34</v>
      </c>
      <c r="Y14" s="111">
        <v>6</v>
      </c>
      <c r="Z14" s="109">
        <f>SUM(Tabla38[[#This Row],[2002]:[2024]])</f>
        <v>1154</v>
      </c>
    </row>
    <row r="15" spans="2:26" x14ac:dyDescent="0.25">
      <c r="B15" s="104" t="s">
        <v>15</v>
      </c>
      <c r="C15" s="105">
        <v>75</v>
      </c>
      <c r="D15" s="106">
        <v>21</v>
      </c>
      <c r="E15" s="106">
        <v>21</v>
      </c>
      <c r="F15" s="106">
        <v>31</v>
      </c>
      <c r="G15" s="106">
        <v>11</v>
      </c>
      <c r="H15" s="106">
        <v>53</v>
      </c>
      <c r="I15" s="106">
        <v>73</v>
      </c>
      <c r="J15" s="106">
        <v>35</v>
      </c>
      <c r="K15" s="106">
        <v>57</v>
      </c>
      <c r="L15" s="106">
        <v>4</v>
      </c>
      <c r="M15" s="106">
        <v>41</v>
      </c>
      <c r="N15" s="106">
        <v>43</v>
      </c>
      <c r="O15" s="106">
        <v>46</v>
      </c>
      <c r="P15" s="106">
        <v>133</v>
      </c>
      <c r="Q15" s="106">
        <v>97</v>
      </c>
      <c r="R15" s="106">
        <v>13</v>
      </c>
      <c r="S15" s="106">
        <v>28</v>
      </c>
      <c r="T15" s="106">
        <v>62</v>
      </c>
      <c r="U15" s="106">
        <v>78</v>
      </c>
      <c r="V15" s="107">
        <v>108</v>
      </c>
      <c r="W15" s="106">
        <v>41</v>
      </c>
      <c r="X15" s="106">
        <v>18</v>
      </c>
      <c r="Y15" s="106">
        <v>22</v>
      </c>
      <c r="Z15" s="109">
        <f>SUM(Tabla38[[#This Row],[2002]:[2024]])</f>
        <v>1111</v>
      </c>
    </row>
    <row r="16" spans="2:26" ht="36" x14ac:dyDescent="0.25">
      <c r="B16" s="104" t="s">
        <v>19</v>
      </c>
      <c r="C16" s="110">
        <v>22</v>
      </c>
      <c r="D16" s="111">
        <v>29</v>
      </c>
      <c r="E16" s="111">
        <v>41</v>
      </c>
      <c r="F16" s="111">
        <v>16</v>
      </c>
      <c r="G16" s="111">
        <v>52</v>
      </c>
      <c r="H16" s="111">
        <v>70</v>
      </c>
      <c r="I16" s="111">
        <v>66</v>
      </c>
      <c r="J16" s="111">
        <v>62</v>
      </c>
      <c r="K16" s="111">
        <v>23</v>
      </c>
      <c r="L16" s="111">
        <v>87</v>
      </c>
      <c r="M16" s="111">
        <v>38</v>
      </c>
      <c r="N16" s="111">
        <v>72</v>
      </c>
      <c r="O16" s="111">
        <v>60</v>
      </c>
      <c r="P16" s="111">
        <v>50</v>
      </c>
      <c r="Q16" s="111">
        <v>23</v>
      </c>
      <c r="R16" s="111">
        <v>41</v>
      </c>
      <c r="S16" s="111">
        <v>32</v>
      </c>
      <c r="T16" s="111">
        <v>60</v>
      </c>
      <c r="U16" s="111">
        <v>50</v>
      </c>
      <c r="V16" s="112">
        <v>13</v>
      </c>
      <c r="W16" s="111">
        <v>12</v>
      </c>
      <c r="X16" s="111" t="s">
        <v>59</v>
      </c>
      <c r="Y16" s="111">
        <v>10</v>
      </c>
      <c r="Z16" s="109">
        <f>SUM(Tabla38[[#This Row],[2002]:[2024]])</f>
        <v>929</v>
      </c>
    </row>
    <row r="17" spans="2:26" x14ac:dyDescent="0.25">
      <c r="B17" s="104" t="s">
        <v>14</v>
      </c>
      <c r="C17" s="105">
        <v>45</v>
      </c>
      <c r="D17" s="106">
        <v>44</v>
      </c>
      <c r="E17" s="106">
        <v>20</v>
      </c>
      <c r="F17" s="106">
        <v>61</v>
      </c>
      <c r="G17" s="106">
        <v>46</v>
      </c>
      <c r="H17" s="106">
        <v>84</v>
      </c>
      <c r="I17" s="106">
        <v>73</v>
      </c>
      <c r="J17" s="106">
        <v>38</v>
      </c>
      <c r="K17" s="106">
        <v>29</v>
      </c>
      <c r="L17" s="106">
        <v>21</v>
      </c>
      <c r="M17" s="106">
        <v>24</v>
      </c>
      <c r="N17" s="106">
        <v>47</v>
      </c>
      <c r="O17" s="106">
        <v>33</v>
      </c>
      <c r="P17" s="106">
        <v>46</v>
      </c>
      <c r="Q17" s="106">
        <v>75</v>
      </c>
      <c r="R17" s="106">
        <v>65</v>
      </c>
      <c r="S17" s="106">
        <v>42</v>
      </c>
      <c r="T17" s="106">
        <v>33</v>
      </c>
      <c r="U17" s="106">
        <v>3</v>
      </c>
      <c r="V17" s="107">
        <v>41</v>
      </c>
      <c r="W17" s="106">
        <v>2</v>
      </c>
      <c r="X17" s="106">
        <v>15</v>
      </c>
      <c r="Y17" s="106">
        <v>14</v>
      </c>
      <c r="Z17" s="109">
        <f>SUM(Tabla38[[#This Row],[2002]:[2024]])</f>
        <v>901</v>
      </c>
    </row>
    <row r="18" spans="2:26" x14ac:dyDescent="0.25">
      <c r="B18" s="104" t="s">
        <v>16</v>
      </c>
      <c r="C18" s="110">
        <v>210</v>
      </c>
      <c r="D18" s="111">
        <v>113</v>
      </c>
      <c r="E18" s="111">
        <v>54</v>
      </c>
      <c r="F18" s="111">
        <v>38</v>
      </c>
      <c r="G18" s="111">
        <v>58</v>
      </c>
      <c r="H18" s="111">
        <v>47</v>
      </c>
      <c r="I18" s="111">
        <v>5</v>
      </c>
      <c r="J18" s="111">
        <v>5</v>
      </c>
      <c r="K18" s="111">
        <v>24</v>
      </c>
      <c r="L18" s="111">
        <v>41</v>
      </c>
      <c r="M18" s="111">
        <v>8</v>
      </c>
      <c r="N18" s="111">
        <v>7</v>
      </c>
      <c r="O18" s="111">
        <v>12</v>
      </c>
      <c r="P18" s="111">
        <v>33</v>
      </c>
      <c r="Q18" s="111">
        <v>58</v>
      </c>
      <c r="R18" s="111">
        <v>56</v>
      </c>
      <c r="S18" s="111">
        <v>25</v>
      </c>
      <c r="T18" s="111">
        <v>1</v>
      </c>
      <c r="U18" s="111">
        <v>34</v>
      </c>
      <c r="V18" s="112">
        <v>7</v>
      </c>
      <c r="W18" s="111">
        <v>16</v>
      </c>
      <c r="X18" s="111">
        <v>28</v>
      </c>
      <c r="Y18" s="111" t="s">
        <v>59</v>
      </c>
      <c r="Z18" s="109">
        <f>SUM(Tabla38[[#This Row],[2002]:[2024]])</f>
        <v>880</v>
      </c>
    </row>
    <row r="19" spans="2:26" x14ac:dyDescent="0.25">
      <c r="B19" s="104" t="s">
        <v>18</v>
      </c>
      <c r="C19" s="105">
        <v>31</v>
      </c>
      <c r="D19" s="106" t="s">
        <v>59</v>
      </c>
      <c r="E19" s="106">
        <v>13</v>
      </c>
      <c r="F19" s="106">
        <v>23</v>
      </c>
      <c r="G19" s="106">
        <v>42</v>
      </c>
      <c r="H19" s="106">
        <v>39</v>
      </c>
      <c r="I19" s="106">
        <v>54</v>
      </c>
      <c r="J19" s="106">
        <v>40</v>
      </c>
      <c r="K19" s="106">
        <v>66</v>
      </c>
      <c r="L19" s="106">
        <v>36</v>
      </c>
      <c r="M19" s="106">
        <v>43</v>
      </c>
      <c r="N19" s="106">
        <v>100</v>
      </c>
      <c r="O19" s="106">
        <v>81</v>
      </c>
      <c r="P19" s="106">
        <v>29</v>
      </c>
      <c r="Q19" s="106">
        <v>34</v>
      </c>
      <c r="R19" s="106">
        <v>15</v>
      </c>
      <c r="S19" s="106">
        <v>13</v>
      </c>
      <c r="T19" s="106">
        <v>61</v>
      </c>
      <c r="U19" s="106">
        <v>46</v>
      </c>
      <c r="V19" s="107">
        <v>8</v>
      </c>
      <c r="W19" s="106">
        <v>22</v>
      </c>
      <c r="X19" s="106">
        <v>7</v>
      </c>
      <c r="Y19" s="106">
        <v>21</v>
      </c>
      <c r="Z19" s="109">
        <f>SUM(Tabla38[[#This Row],[2002]:[2024]])</f>
        <v>824</v>
      </c>
    </row>
    <row r="20" spans="2:26" ht="24" x14ac:dyDescent="0.25">
      <c r="B20" s="104" t="s">
        <v>22</v>
      </c>
      <c r="C20" s="110">
        <v>13</v>
      </c>
      <c r="D20" s="111">
        <v>13</v>
      </c>
      <c r="E20" s="111">
        <v>38</v>
      </c>
      <c r="F20" s="111">
        <v>41</v>
      </c>
      <c r="G20" s="111">
        <v>39</v>
      </c>
      <c r="H20" s="111">
        <v>62</v>
      </c>
      <c r="I20" s="111">
        <v>11</v>
      </c>
      <c r="J20" s="111">
        <v>40</v>
      </c>
      <c r="K20" s="111">
        <v>16</v>
      </c>
      <c r="L20" s="111">
        <v>26</v>
      </c>
      <c r="M20" s="111">
        <v>39</v>
      </c>
      <c r="N20" s="111">
        <v>14</v>
      </c>
      <c r="O20" s="111">
        <v>32</v>
      </c>
      <c r="P20" s="111">
        <v>48</v>
      </c>
      <c r="Q20" s="111">
        <v>29</v>
      </c>
      <c r="R20" s="111">
        <v>75</v>
      </c>
      <c r="S20" s="111">
        <v>107</v>
      </c>
      <c r="T20" s="111">
        <v>56</v>
      </c>
      <c r="U20" s="111">
        <v>31</v>
      </c>
      <c r="V20" s="112">
        <v>42</v>
      </c>
      <c r="W20" s="111">
        <v>18</v>
      </c>
      <c r="X20" s="111">
        <v>10</v>
      </c>
      <c r="Y20" s="111">
        <v>14</v>
      </c>
      <c r="Z20" s="109">
        <f>SUM(Tabla38[[#This Row],[2002]:[2024]])</f>
        <v>814</v>
      </c>
    </row>
    <row r="21" spans="2:26" ht="72" x14ac:dyDescent="0.25">
      <c r="B21" s="104" t="s">
        <v>25</v>
      </c>
      <c r="C21" s="105">
        <v>4</v>
      </c>
      <c r="D21" s="106">
        <v>10</v>
      </c>
      <c r="E21" s="106">
        <v>3</v>
      </c>
      <c r="F21" s="106">
        <v>4</v>
      </c>
      <c r="G21" s="106">
        <v>111</v>
      </c>
      <c r="H21" s="106">
        <v>47</v>
      </c>
      <c r="I21" s="106">
        <v>17</v>
      </c>
      <c r="J21" s="106">
        <v>26</v>
      </c>
      <c r="K21" s="106">
        <v>37</v>
      </c>
      <c r="L21" s="106">
        <v>27</v>
      </c>
      <c r="M21" s="106">
        <v>13</v>
      </c>
      <c r="N21" s="106">
        <v>63</v>
      </c>
      <c r="O21" s="106">
        <v>22</v>
      </c>
      <c r="P21" s="106">
        <v>18</v>
      </c>
      <c r="Q21" s="106" t="s">
        <v>59</v>
      </c>
      <c r="R21" s="106">
        <v>11</v>
      </c>
      <c r="S21" s="106">
        <v>20</v>
      </c>
      <c r="T21" s="106">
        <v>87</v>
      </c>
      <c r="U21" s="106">
        <v>15</v>
      </c>
      <c r="V21" s="107">
        <v>75</v>
      </c>
      <c r="W21" s="106">
        <v>27</v>
      </c>
      <c r="X21" s="106">
        <v>13</v>
      </c>
      <c r="Y21" s="106">
        <v>53</v>
      </c>
      <c r="Z21" s="109">
        <f>SUM(Tabla38[[#This Row],[2002]:[2024]])</f>
        <v>703</v>
      </c>
    </row>
    <row r="22" spans="2:26" ht="24" x14ac:dyDescent="0.25">
      <c r="B22" s="104" t="s">
        <v>17</v>
      </c>
      <c r="C22" s="110">
        <v>24</v>
      </c>
      <c r="D22" s="111">
        <v>26</v>
      </c>
      <c r="E22" s="111">
        <v>21</v>
      </c>
      <c r="F22" s="111">
        <v>21</v>
      </c>
      <c r="G22" s="111">
        <v>78</v>
      </c>
      <c r="H22" s="111">
        <v>46</v>
      </c>
      <c r="I22" s="111">
        <v>14</v>
      </c>
      <c r="J22" s="111">
        <v>13</v>
      </c>
      <c r="K22" s="111">
        <v>47</v>
      </c>
      <c r="L22" s="111">
        <v>16</v>
      </c>
      <c r="M22" s="111">
        <v>29</v>
      </c>
      <c r="N22" s="111">
        <v>24</v>
      </c>
      <c r="O22" s="111">
        <v>23</v>
      </c>
      <c r="P22" s="111">
        <v>48</v>
      </c>
      <c r="Q22" s="111">
        <v>32</v>
      </c>
      <c r="R22" s="111">
        <v>24</v>
      </c>
      <c r="S22" s="111">
        <v>31</v>
      </c>
      <c r="T22" s="111">
        <v>12</v>
      </c>
      <c r="U22" s="111">
        <v>14</v>
      </c>
      <c r="V22" s="112">
        <v>41</v>
      </c>
      <c r="W22" s="111">
        <v>18</v>
      </c>
      <c r="X22" s="111">
        <v>28</v>
      </c>
      <c r="Y22" s="111">
        <v>12</v>
      </c>
      <c r="Z22" s="109">
        <f>SUM(Tabla38[[#This Row],[2002]:[2024]])</f>
        <v>642</v>
      </c>
    </row>
    <row r="23" spans="2:26" ht="36" x14ac:dyDescent="0.25">
      <c r="B23" s="104" t="s">
        <v>28</v>
      </c>
      <c r="C23" s="105">
        <v>18</v>
      </c>
      <c r="D23" s="106">
        <v>44</v>
      </c>
      <c r="E23" s="106">
        <v>8</v>
      </c>
      <c r="F23" s="106">
        <v>12</v>
      </c>
      <c r="G23" s="106">
        <v>21</v>
      </c>
      <c r="H23" s="106">
        <v>58</v>
      </c>
      <c r="I23" s="106" t="s">
        <v>59</v>
      </c>
      <c r="J23" s="106" t="s">
        <v>59</v>
      </c>
      <c r="K23" s="106">
        <v>34</v>
      </c>
      <c r="L23" s="106">
        <v>13</v>
      </c>
      <c r="M23" s="106">
        <v>7</v>
      </c>
      <c r="N23" s="106" t="s">
        <v>59</v>
      </c>
      <c r="O23" s="106">
        <v>50</v>
      </c>
      <c r="P23" s="106">
        <v>316</v>
      </c>
      <c r="Q23" s="106" t="s">
        <v>59</v>
      </c>
      <c r="R23" s="106" t="s">
        <v>59</v>
      </c>
      <c r="S23" s="106">
        <v>10</v>
      </c>
      <c r="T23" s="106">
        <v>42</v>
      </c>
      <c r="U23" s="106" t="s">
        <v>59</v>
      </c>
      <c r="V23" s="107" t="s">
        <v>59</v>
      </c>
      <c r="W23" s="106" t="s">
        <v>59</v>
      </c>
      <c r="X23" s="106" t="s">
        <v>59</v>
      </c>
      <c r="Y23" s="106" t="s">
        <v>59</v>
      </c>
      <c r="Z23" s="109">
        <f>SUM(Tabla38[[#This Row],[2002]:[2024]])</f>
        <v>633</v>
      </c>
    </row>
    <row r="24" spans="2:26" ht="24" x14ac:dyDescent="0.25">
      <c r="B24" s="104" t="s">
        <v>26</v>
      </c>
      <c r="C24" s="110" t="s">
        <v>59</v>
      </c>
      <c r="D24" s="111">
        <v>151</v>
      </c>
      <c r="E24" s="111">
        <v>56</v>
      </c>
      <c r="F24" s="111">
        <v>8</v>
      </c>
      <c r="G24" s="111">
        <v>30</v>
      </c>
      <c r="H24" s="111">
        <v>47</v>
      </c>
      <c r="I24" s="111">
        <v>13</v>
      </c>
      <c r="J24" s="111">
        <v>11</v>
      </c>
      <c r="K24" s="111">
        <v>65</v>
      </c>
      <c r="L24" s="111">
        <v>40</v>
      </c>
      <c r="M24" s="111" t="s">
        <v>59</v>
      </c>
      <c r="N24" s="111">
        <v>23</v>
      </c>
      <c r="O24" s="111">
        <v>3</v>
      </c>
      <c r="P24" s="111">
        <v>10</v>
      </c>
      <c r="Q24" s="111">
        <v>17</v>
      </c>
      <c r="R24" s="111">
        <v>15</v>
      </c>
      <c r="S24" s="111">
        <v>23</v>
      </c>
      <c r="T24" s="111">
        <v>2</v>
      </c>
      <c r="U24" s="111">
        <v>19</v>
      </c>
      <c r="V24" s="112">
        <v>10</v>
      </c>
      <c r="W24" s="111">
        <v>13</v>
      </c>
      <c r="X24" s="111">
        <v>10</v>
      </c>
      <c r="Y24" s="111">
        <v>16</v>
      </c>
      <c r="Z24" s="109">
        <f>SUM(Tabla38[[#This Row],[2002]:[2024]])</f>
        <v>582</v>
      </c>
    </row>
    <row r="25" spans="2:26" ht="24" x14ac:dyDescent="0.25">
      <c r="B25" s="104" t="s">
        <v>31</v>
      </c>
      <c r="C25" s="105">
        <v>22</v>
      </c>
      <c r="D25" s="106">
        <v>25</v>
      </c>
      <c r="E25" s="106">
        <v>18</v>
      </c>
      <c r="F25" s="106">
        <v>14</v>
      </c>
      <c r="G25" s="106">
        <v>32</v>
      </c>
      <c r="H25" s="106">
        <v>69</v>
      </c>
      <c r="I25" s="106">
        <v>40</v>
      </c>
      <c r="J25" s="106">
        <v>18</v>
      </c>
      <c r="K25" s="106">
        <v>15</v>
      </c>
      <c r="L25" s="106">
        <v>6</v>
      </c>
      <c r="M25" s="106">
        <v>13</v>
      </c>
      <c r="N25" s="106">
        <v>11</v>
      </c>
      <c r="O25" s="106">
        <v>16</v>
      </c>
      <c r="P25" s="106">
        <v>25</v>
      </c>
      <c r="Q25" s="106">
        <v>9</v>
      </c>
      <c r="R25" s="106">
        <v>27</v>
      </c>
      <c r="S25" s="106">
        <v>47</v>
      </c>
      <c r="T25" s="106">
        <v>13</v>
      </c>
      <c r="U25" s="106">
        <v>4</v>
      </c>
      <c r="V25" s="107">
        <v>2</v>
      </c>
      <c r="W25" s="106">
        <v>3</v>
      </c>
      <c r="X25" s="106" t="s">
        <v>59</v>
      </c>
      <c r="Y25" s="106" t="s">
        <v>59</v>
      </c>
      <c r="Z25" s="109">
        <f>SUM(Tabla38[[#This Row],[2002]:[2024]])</f>
        <v>429</v>
      </c>
    </row>
    <row r="26" spans="2:26" ht="48" x14ac:dyDescent="0.25">
      <c r="B26" s="104" t="s">
        <v>23</v>
      </c>
      <c r="C26" s="110">
        <v>1</v>
      </c>
      <c r="D26" s="111">
        <v>15</v>
      </c>
      <c r="E26" s="111">
        <v>5</v>
      </c>
      <c r="F26" s="111">
        <v>11</v>
      </c>
      <c r="G26" s="111">
        <v>37</v>
      </c>
      <c r="H26" s="111">
        <v>20</v>
      </c>
      <c r="I26" s="111">
        <v>44</v>
      </c>
      <c r="J26" s="111">
        <v>62</v>
      </c>
      <c r="K26" s="111">
        <v>32</v>
      </c>
      <c r="L26" s="111">
        <v>25</v>
      </c>
      <c r="M26" s="111">
        <v>33</v>
      </c>
      <c r="N26" s="111">
        <v>5</v>
      </c>
      <c r="O26" s="111">
        <v>10</v>
      </c>
      <c r="P26" s="111">
        <v>8</v>
      </c>
      <c r="Q26" s="111">
        <v>45</v>
      </c>
      <c r="R26" s="111">
        <v>19</v>
      </c>
      <c r="S26" s="111">
        <v>13</v>
      </c>
      <c r="T26" s="111">
        <v>3</v>
      </c>
      <c r="U26" s="111">
        <v>12</v>
      </c>
      <c r="V26" s="112">
        <v>12</v>
      </c>
      <c r="W26" s="111">
        <v>10</v>
      </c>
      <c r="X26" s="111">
        <v>3</v>
      </c>
      <c r="Y26" s="111">
        <v>4</v>
      </c>
      <c r="Z26" s="109">
        <f>SUM(Tabla38[[#This Row],[2002]:[2024]])</f>
        <v>429</v>
      </c>
    </row>
    <row r="27" spans="2:26" x14ac:dyDescent="0.25">
      <c r="B27" s="104" t="s">
        <v>20</v>
      </c>
      <c r="C27" s="105">
        <v>75</v>
      </c>
      <c r="D27" s="106">
        <v>14</v>
      </c>
      <c r="E27" s="106">
        <v>22</v>
      </c>
      <c r="F27" s="106">
        <v>10</v>
      </c>
      <c r="G27" s="106">
        <v>5</v>
      </c>
      <c r="H27" s="106">
        <v>16</v>
      </c>
      <c r="I27" s="106">
        <v>14</v>
      </c>
      <c r="J27" s="106">
        <v>28</v>
      </c>
      <c r="K27" s="106">
        <v>22</v>
      </c>
      <c r="L27" s="106">
        <v>27</v>
      </c>
      <c r="M27" s="106">
        <v>22</v>
      </c>
      <c r="N27" s="106">
        <v>17</v>
      </c>
      <c r="O27" s="106">
        <v>19</v>
      </c>
      <c r="P27" s="106">
        <v>6</v>
      </c>
      <c r="Q27" s="106">
        <v>9</v>
      </c>
      <c r="R27" s="106">
        <v>16</v>
      </c>
      <c r="S27" s="106">
        <v>9</v>
      </c>
      <c r="T27" s="106">
        <v>61</v>
      </c>
      <c r="U27" s="106">
        <v>6</v>
      </c>
      <c r="V27" s="107">
        <v>3</v>
      </c>
      <c r="W27" s="106">
        <v>5</v>
      </c>
      <c r="X27" s="106">
        <v>1</v>
      </c>
      <c r="Y27" s="106" t="s">
        <v>59</v>
      </c>
      <c r="Z27" s="109">
        <f>SUM(Tabla38[[#This Row],[2002]:[2024]])</f>
        <v>407</v>
      </c>
    </row>
    <row r="28" spans="2:26" x14ac:dyDescent="0.25">
      <c r="B28" s="104" t="s">
        <v>24</v>
      </c>
      <c r="C28" s="110">
        <v>3</v>
      </c>
      <c r="D28" s="111">
        <v>31</v>
      </c>
      <c r="E28" s="111">
        <v>19</v>
      </c>
      <c r="F28" s="111">
        <v>13</v>
      </c>
      <c r="G28" s="111">
        <v>16</v>
      </c>
      <c r="H28" s="111">
        <v>66</v>
      </c>
      <c r="I28" s="111">
        <v>12</v>
      </c>
      <c r="J28" s="111">
        <v>6</v>
      </c>
      <c r="K28" s="111">
        <v>36</v>
      </c>
      <c r="L28" s="111">
        <v>24</v>
      </c>
      <c r="M28" s="111">
        <v>24</v>
      </c>
      <c r="N28" s="111">
        <v>7</v>
      </c>
      <c r="O28" s="111">
        <v>14</v>
      </c>
      <c r="P28" s="111">
        <v>18</v>
      </c>
      <c r="Q28" s="111">
        <v>21</v>
      </c>
      <c r="R28" s="111">
        <v>2</v>
      </c>
      <c r="S28" s="111">
        <v>2</v>
      </c>
      <c r="T28" s="111">
        <v>16</v>
      </c>
      <c r="U28" s="111">
        <v>23</v>
      </c>
      <c r="V28" s="112">
        <v>7</v>
      </c>
      <c r="W28" s="111">
        <v>4</v>
      </c>
      <c r="X28" s="111">
        <v>2</v>
      </c>
      <c r="Y28" s="111">
        <v>3</v>
      </c>
      <c r="Z28" s="109">
        <f>SUM(Tabla38[[#This Row],[2002]:[2024]])</f>
        <v>369</v>
      </c>
    </row>
    <row r="29" spans="2:26" ht="24" x14ac:dyDescent="0.25">
      <c r="B29" s="104" t="s">
        <v>21</v>
      </c>
      <c r="C29" s="105">
        <v>3</v>
      </c>
      <c r="D29" s="106">
        <v>9</v>
      </c>
      <c r="E29" s="106">
        <v>13</v>
      </c>
      <c r="F29" s="106">
        <v>2</v>
      </c>
      <c r="G29" s="106">
        <v>8</v>
      </c>
      <c r="H29" s="106">
        <v>30</v>
      </c>
      <c r="I29" s="106">
        <v>56</v>
      </c>
      <c r="J29" s="106">
        <v>42</v>
      </c>
      <c r="K29" s="106">
        <v>13</v>
      </c>
      <c r="L29" s="106">
        <v>29</v>
      </c>
      <c r="M29" s="106">
        <v>12</v>
      </c>
      <c r="N29" s="106">
        <v>8</v>
      </c>
      <c r="O29" s="106">
        <v>3</v>
      </c>
      <c r="P29" s="106">
        <v>2</v>
      </c>
      <c r="Q29" s="106">
        <v>4</v>
      </c>
      <c r="R29" s="106">
        <v>3</v>
      </c>
      <c r="S29" s="106">
        <v>23</v>
      </c>
      <c r="T29" s="106">
        <v>39</v>
      </c>
      <c r="U29" s="106">
        <v>51</v>
      </c>
      <c r="V29" s="107">
        <v>4</v>
      </c>
      <c r="W29" s="106">
        <v>3</v>
      </c>
      <c r="X29" s="106">
        <v>3</v>
      </c>
      <c r="Y29" s="106">
        <v>7</v>
      </c>
      <c r="Z29" s="109">
        <f>SUM(Tabla38[[#This Row],[2002]:[2024]])</f>
        <v>367</v>
      </c>
    </row>
    <row r="30" spans="2:26" ht="24" x14ac:dyDescent="0.25">
      <c r="B30" s="104" t="s">
        <v>29</v>
      </c>
      <c r="C30" s="110">
        <v>6</v>
      </c>
      <c r="D30" s="111">
        <v>4</v>
      </c>
      <c r="E30" s="111">
        <v>15</v>
      </c>
      <c r="F30" s="111">
        <v>17</v>
      </c>
      <c r="G30" s="111">
        <v>19</v>
      </c>
      <c r="H30" s="111">
        <v>22</v>
      </c>
      <c r="I30" s="111">
        <v>10</v>
      </c>
      <c r="J30" s="111">
        <v>26</v>
      </c>
      <c r="K30" s="111">
        <v>5</v>
      </c>
      <c r="L30" s="111">
        <v>4</v>
      </c>
      <c r="M30" s="111">
        <v>6</v>
      </c>
      <c r="N30" s="111" t="s">
        <v>59</v>
      </c>
      <c r="O30" s="111">
        <v>6</v>
      </c>
      <c r="P30" s="111">
        <v>46</v>
      </c>
      <c r="Q30" s="111">
        <v>51</v>
      </c>
      <c r="R30" s="111">
        <v>18</v>
      </c>
      <c r="S30" s="111">
        <v>15</v>
      </c>
      <c r="T30" s="111">
        <v>15</v>
      </c>
      <c r="U30" s="111">
        <v>16</v>
      </c>
      <c r="V30" s="112">
        <v>10</v>
      </c>
      <c r="W30" s="111">
        <v>3</v>
      </c>
      <c r="X30" s="111">
        <v>11</v>
      </c>
      <c r="Y30" s="111" t="s">
        <v>59</v>
      </c>
      <c r="Z30" s="109">
        <f>SUM(Tabla38[[#This Row],[2002]:[2024]])</f>
        <v>325</v>
      </c>
    </row>
    <row r="31" spans="2:26" ht="36" x14ac:dyDescent="0.25">
      <c r="B31" s="104" t="s">
        <v>30</v>
      </c>
      <c r="C31" s="105">
        <v>45</v>
      </c>
      <c r="D31" s="106">
        <v>15</v>
      </c>
      <c r="E31" s="106">
        <v>3</v>
      </c>
      <c r="F31" s="106">
        <v>20</v>
      </c>
      <c r="G31" s="106">
        <v>24</v>
      </c>
      <c r="H31" s="106">
        <v>15</v>
      </c>
      <c r="I31" s="106">
        <v>67</v>
      </c>
      <c r="J31" s="106">
        <v>18</v>
      </c>
      <c r="K31" s="106" t="s">
        <v>59</v>
      </c>
      <c r="L31" s="106">
        <v>7</v>
      </c>
      <c r="M31" s="106">
        <v>16</v>
      </c>
      <c r="N31" s="106">
        <v>6</v>
      </c>
      <c r="O31" s="106">
        <v>8</v>
      </c>
      <c r="P31" s="106" t="s">
        <v>59</v>
      </c>
      <c r="Q31" s="106">
        <v>17</v>
      </c>
      <c r="R31" s="106">
        <v>18</v>
      </c>
      <c r="S31" s="106">
        <v>5</v>
      </c>
      <c r="T31" s="106">
        <v>16</v>
      </c>
      <c r="U31" s="106" t="s">
        <v>59</v>
      </c>
      <c r="V31" s="107" t="s">
        <v>59</v>
      </c>
      <c r="W31" s="106" t="s">
        <v>59</v>
      </c>
      <c r="X31" s="106">
        <v>7</v>
      </c>
      <c r="Y31" s="106" t="s">
        <v>59</v>
      </c>
      <c r="Z31" s="109">
        <f>SUM(Tabla38[[#This Row],[2002]:[2024]])</f>
        <v>307</v>
      </c>
    </row>
    <row r="32" spans="2:26" ht="36" x14ac:dyDescent="0.25">
      <c r="B32" s="104" t="s">
        <v>27</v>
      </c>
      <c r="C32" s="110">
        <v>16</v>
      </c>
      <c r="D32" s="111" t="s">
        <v>59</v>
      </c>
      <c r="E32" s="111">
        <v>5</v>
      </c>
      <c r="F32" s="111">
        <v>1</v>
      </c>
      <c r="G32" s="111">
        <v>19</v>
      </c>
      <c r="H32" s="111">
        <v>28</v>
      </c>
      <c r="I32" s="111">
        <v>2</v>
      </c>
      <c r="J32" s="111">
        <v>11</v>
      </c>
      <c r="K32" s="111">
        <v>10</v>
      </c>
      <c r="L32" s="111">
        <v>8</v>
      </c>
      <c r="M32" s="111" t="s">
        <v>59</v>
      </c>
      <c r="N32" s="111">
        <v>1</v>
      </c>
      <c r="O32" s="111" t="s">
        <v>59</v>
      </c>
      <c r="P32" s="111">
        <v>20</v>
      </c>
      <c r="Q32" s="111">
        <v>1</v>
      </c>
      <c r="R32" s="111">
        <v>12</v>
      </c>
      <c r="S32" s="111" t="s">
        <v>59</v>
      </c>
      <c r="T32" s="111">
        <v>19</v>
      </c>
      <c r="U32" s="111">
        <v>10</v>
      </c>
      <c r="V32" s="112">
        <v>17</v>
      </c>
      <c r="W32" s="111">
        <v>13</v>
      </c>
      <c r="X32" s="111">
        <v>18</v>
      </c>
      <c r="Y32" s="111" t="s">
        <v>59</v>
      </c>
      <c r="Z32" s="109">
        <f>SUM(Tabla38[[#This Row],[2002]:[2024]])</f>
        <v>211</v>
      </c>
    </row>
    <row r="33" spans="2:26" ht="36" x14ac:dyDescent="0.25">
      <c r="B33" s="104" t="s">
        <v>32</v>
      </c>
      <c r="C33" s="105">
        <v>6</v>
      </c>
      <c r="D33" s="106">
        <v>14</v>
      </c>
      <c r="E33" s="106" t="s">
        <v>59</v>
      </c>
      <c r="F33" s="106">
        <v>7</v>
      </c>
      <c r="G33" s="106">
        <v>5</v>
      </c>
      <c r="H33" s="106" t="s">
        <v>59</v>
      </c>
      <c r="I33" s="106" t="s">
        <v>59</v>
      </c>
      <c r="J33" s="106">
        <v>5</v>
      </c>
      <c r="K33" s="106">
        <v>17</v>
      </c>
      <c r="L33" s="106" t="s">
        <v>59</v>
      </c>
      <c r="M33" s="106">
        <v>2</v>
      </c>
      <c r="N33" s="106" t="s">
        <v>59</v>
      </c>
      <c r="O33" s="106">
        <v>2</v>
      </c>
      <c r="P33" s="106" t="s">
        <v>59</v>
      </c>
      <c r="Q33" s="106">
        <v>1</v>
      </c>
      <c r="R33" s="106" t="s">
        <v>59</v>
      </c>
      <c r="S33" s="106">
        <v>9</v>
      </c>
      <c r="T33" s="106">
        <v>7</v>
      </c>
      <c r="U33" s="106" t="s">
        <v>59</v>
      </c>
      <c r="V33" s="107" t="s">
        <v>59</v>
      </c>
      <c r="W33" s="106" t="s">
        <v>59</v>
      </c>
      <c r="X33" s="106" t="s">
        <v>59</v>
      </c>
      <c r="Y33" s="106" t="s">
        <v>59</v>
      </c>
      <c r="Z33" s="109">
        <f>SUM(Tabla38[[#This Row],[2002]:[2024]])</f>
        <v>75</v>
      </c>
    </row>
    <row r="34" spans="2:26" x14ac:dyDescent="0.25">
      <c r="B34" s="104" t="s">
        <v>34</v>
      </c>
      <c r="C34" s="113">
        <f>SUBTOTAL(109,C5:C33)</f>
        <v>2227</v>
      </c>
      <c r="D34" s="113">
        <f>SUBTOTAL(109,D5:D33)</f>
        <v>1957</v>
      </c>
      <c r="E34" s="113">
        <f>SUBTOTAL(109,E5:E33)</f>
        <v>2554</v>
      </c>
      <c r="F34" s="113">
        <f>SUBTOTAL(109,F5:F33)</f>
        <v>3810</v>
      </c>
      <c r="G34" s="113">
        <f>SUBTOTAL(109,G5:G33)</f>
        <v>6078</v>
      </c>
      <c r="H34" s="113">
        <f>SUBTOTAL(109,H5:H33)</f>
        <v>6176</v>
      </c>
      <c r="I34" s="113">
        <f>SUBTOTAL(109,I5:I33)</f>
        <v>5105</v>
      </c>
      <c r="J34" s="113">
        <f>SUBTOTAL(109,J5:J33)</f>
        <v>4568</v>
      </c>
      <c r="K34" s="113">
        <f>SUBTOTAL(109,K5:K33)</f>
        <v>5734</v>
      </c>
      <c r="L34" s="113">
        <f>SUBTOTAL(109,L5:L33)</f>
        <v>5312</v>
      </c>
      <c r="M34" s="113">
        <f>SUBTOTAL(109,M5:M33)</f>
        <v>5215</v>
      </c>
      <c r="N34" s="113">
        <f>SUBTOTAL(109,N5:N33)</f>
        <v>5299</v>
      </c>
      <c r="O34" s="113">
        <f>SUBTOTAL(109,O5:O33)</f>
        <v>2234</v>
      </c>
      <c r="P34" s="113">
        <f>SUBTOTAL(109,P5:P33)</f>
        <v>2772</v>
      </c>
      <c r="Q34" s="113">
        <f>SUBTOTAL(109,Q5:Q33)</f>
        <v>3278</v>
      </c>
      <c r="R34" s="113">
        <f>SUBTOTAL(109,R5:R33)</f>
        <v>2415</v>
      </c>
      <c r="S34" s="113">
        <f>SUBTOTAL(109,S5:S33)</f>
        <v>2225</v>
      </c>
      <c r="T34" s="113">
        <f>SUBTOTAL(109,T5:T33)</f>
        <v>1737</v>
      </c>
      <c r="U34" s="113">
        <f>SUBTOTAL(109,U5:U33)</f>
        <v>1598</v>
      </c>
      <c r="V34" s="113">
        <f>SUBTOTAL(109,V5:V33)</f>
        <v>1801</v>
      </c>
      <c r="W34" s="113">
        <f>SUBTOTAL(109,W5:W33)</f>
        <v>1280</v>
      </c>
      <c r="X34" s="113">
        <f>SUBTOTAL(109,X5:X33)</f>
        <v>1066</v>
      </c>
      <c r="Y34" s="113">
        <f>SUBTOTAL(109,Y5:Y33)</f>
        <v>570</v>
      </c>
      <c r="Z34" s="113">
        <f>SUBTOTAL(109,Z5:Z33)</f>
        <v>75011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5323-D17D-412A-88AA-36E40BA80768}">
  <dimension ref="A1"/>
  <sheetViews>
    <sheetView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4B9C-5B41-4358-A66B-EAAB4CD4697E}">
  <dimension ref="B3:F27"/>
  <sheetViews>
    <sheetView workbookViewId="0">
      <selection activeCell="B3" sqref="B3:F27"/>
    </sheetView>
  </sheetViews>
  <sheetFormatPr baseColWidth="10" defaultRowHeight="15" x14ac:dyDescent="0.25"/>
  <cols>
    <col min="3" max="3" width="14.28515625" customWidth="1"/>
    <col min="4" max="4" width="13.5703125" customWidth="1"/>
  </cols>
  <sheetData>
    <row r="3" spans="2:6" ht="60" x14ac:dyDescent="0.25">
      <c r="B3" s="84" t="s">
        <v>60</v>
      </c>
      <c r="C3" s="85" t="s">
        <v>78</v>
      </c>
      <c r="D3" s="85" t="s">
        <v>79</v>
      </c>
      <c r="E3" s="85" t="s">
        <v>80</v>
      </c>
      <c r="F3" s="86" t="s">
        <v>34</v>
      </c>
    </row>
    <row r="4" spans="2:6" x14ac:dyDescent="0.25">
      <c r="B4" s="87" t="s">
        <v>36</v>
      </c>
      <c r="C4" s="88">
        <v>0</v>
      </c>
      <c r="D4" s="88">
        <v>0</v>
      </c>
      <c r="E4" s="114">
        <v>278</v>
      </c>
      <c r="F4" s="115">
        <f>SUM(Tabla19[[#This Row],[En proceso 
de Notificación]:[Concluidas]])</f>
        <v>278</v>
      </c>
    </row>
    <row r="5" spans="2:6" x14ac:dyDescent="0.25">
      <c r="B5" s="87" t="s">
        <v>37</v>
      </c>
      <c r="C5" s="91">
        <v>0</v>
      </c>
      <c r="D5" s="91">
        <v>0</v>
      </c>
      <c r="E5" s="116">
        <v>338</v>
      </c>
      <c r="F5" s="115">
        <f>SUM(Tabla19[[#This Row],[En proceso 
de Notificación]:[Concluidas]])</f>
        <v>338</v>
      </c>
    </row>
    <row r="6" spans="2:6" x14ac:dyDescent="0.25">
      <c r="B6" s="87" t="s">
        <v>38</v>
      </c>
      <c r="C6" s="88">
        <v>0</v>
      </c>
      <c r="D6" s="88">
        <v>0</v>
      </c>
      <c r="E6" s="114">
        <v>510</v>
      </c>
      <c r="F6" s="115">
        <f>SUM(Tabla19[[#This Row],[En proceso 
de Notificación]:[Concluidas]])</f>
        <v>510</v>
      </c>
    </row>
    <row r="7" spans="2:6" x14ac:dyDescent="0.25">
      <c r="B7" s="87" t="s">
        <v>39</v>
      </c>
      <c r="C7" s="91">
        <v>0</v>
      </c>
      <c r="D7" s="91">
        <v>0</v>
      </c>
      <c r="E7" s="116">
        <v>459</v>
      </c>
      <c r="F7" s="115">
        <f>SUM(Tabla19[[#This Row],[En proceso 
de Notificación]:[Concluidas]])</f>
        <v>459</v>
      </c>
    </row>
    <row r="8" spans="2:6" x14ac:dyDescent="0.25">
      <c r="B8" s="87" t="s">
        <v>40</v>
      </c>
      <c r="C8" s="88">
        <v>0</v>
      </c>
      <c r="D8" s="88">
        <v>0</v>
      </c>
      <c r="E8" s="114">
        <v>606</v>
      </c>
      <c r="F8" s="115">
        <f>SUM(Tabla19[[#This Row],[En proceso 
de Notificación]:[Concluidas]])</f>
        <v>606</v>
      </c>
    </row>
    <row r="9" spans="2:6" x14ac:dyDescent="0.25">
      <c r="B9" s="87" t="s">
        <v>41</v>
      </c>
      <c r="C9" s="91">
        <v>0</v>
      </c>
      <c r="D9" s="91">
        <v>0</v>
      </c>
      <c r="E9" s="116">
        <v>1444</v>
      </c>
      <c r="F9" s="115">
        <f>SUM(Tabla19[[#This Row],[En proceso 
de Notificación]:[Concluidas]])</f>
        <v>1444</v>
      </c>
    </row>
    <row r="10" spans="2:6" x14ac:dyDescent="0.25">
      <c r="B10" s="87" t="s">
        <v>42</v>
      </c>
      <c r="C10" s="88">
        <v>0</v>
      </c>
      <c r="D10" s="88">
        <v>0</v>
      </c>
      <c r="E10" s="114">
        <v>1191</v>
      </c>
      <c r="F10" s="115">
        <f>SUM(Tabla19[[#This Row],[En proceso 
de Notificación]:[Concluidas]])</f>
        <v>1191</v>
      </c>
    </row>
    <row r="11" spans="2:6" x14ac:dyDescent="0.25">
      <c r="B11" s="87" t="s">
        <v>43</v>
      </c>
      <c r="C11" s="91">
        <v>0</v>
      </c>
      <c r="D11" s="91">
        <v>0</v>
      </c>
      <c r="E11" s="116">
        <v>1341</v>
      </c>
      <c r="F11" s="115">
        <f>SUM(Tabla19[[#This Row],[En proceso 
de Notificación]:[Concluidas]])</f>
        <v>1341</v>
      </c>
    </row>
    <row r="12" spans="2:6" x14ac:dyDescent="0.25">
      <c r="B12" s="87" t="s">
        <v>44</v>
      </c>
      <c r="C12" s="88">
        <v>0</v>
      </c>
      <c r="D12" s="88">
        <v>0</v>
      </c>
      <c r="E12" s="114">
        <v>1201</v>
      </c>
      <c r="F12" s="115">
        <f>SUM(Tabla19[[#This Row],[En proceso 
de Notificación]:[Concluidas]])</f>
        <v>1201</v>
      </c>
    </row>
    <row r="13" spans="2:6" x14ac:dyDescent="0.25">
      <c r="B13" s="87" t="s">
        <v>45</v>
      </c>
      <c r="C13" s="91">
        <v>0</v>
      </c>
      <c r="D13" s="91">
        <v>0</v>
      </c>
      <c r="E13" s="116">
        <v>1057</v>
      </c>
      <c r="F13" s="115">
        <f>SUM(Tabla19[[#This Row],[En proceso 
de Notificación]:[Concluidas]])</f>
        <v>1057</v>
      </c>
    </row>
    <row r="14" spans="2:6" x14ac:dyDescent="0.25">
      <c r="B14" s="87" t="s">
        <v>46</v>
      </c>
      <c r="C14" s="88">
        <v>0</v>
      </c>
      <c r="D14" s="88">
        <v>0</v>
      </c>
      <c r="E14" s="114">
        <v>1349</v>
      </c>
      <c r="F14" s="115">
        <f>SUM(Tabla19[[#This Row],[En proceso 
de Notificación]:[Concluidas]])</f>
        <v>1349</v>
      </c>
    </row>
    <row r="15" spans="2:6" x14ac:dyDescent="0.25">
      <c r="B15" s="87" t="s">
        <v>47</v>
      </c>
      <c r="C15" s="91">
        <v>0</v>
      </c>
      <c r="D15" s="91">
        <v>0</v>
      </c>
      <c r="E15" s="116">
        <v>1603</v>
      </c>
      <c r="F15" s="115">
        <f>SUM(Tabla19[[#This Row],[En proceso 
de Notificación]:[Concluidas]])</f>
        <v>1603</v>
      </c>
    </row>
    <row r="16" spans="2:6" x14ac:dyDescent="0.25">
      <c r="B16" s="87" t="s">
        <v>48</v>
      </c>
      <c r="C16" s="88">
        <v>0</v>
      </c>
      <c r="D16" s="88">
        <v>0</v>
      </c>
      <c r="E16" s="114">
        <v>1132</v>
      </c>
      <c r="F16" s="115">
        <f>SUM(Tabla19[[#This Row],[En proceso 
de Notificación]:[Concluidas]])</f>
        <v>1132</v>
      </c>
    </row>
    <row r="17" spans="2:6" x14ac:dyDescent="0.25">
      <c r="B17" s="87" t="s">
        <v>49</v>
      </c>
      <c r="C17" s="91">
        <v>0</v>
      </c>
      <c r="D17" s="91">
        <v>0</v>
      </c>
      <c r="E17" s="116">
        <v>1207</v>
      </c>
      <c r="F17" s="115">
        <f>SUM(Tabla19[[#This Row],[En proceso 
de Notificación]:[Concluidas]])</f>
        <v>1207</v>
      </c>
    </row>
    <row r="18" spans="2:6" x14ac:dyDescent="0.25">
      <c r="B18" s="87" t="s">
        <v>50</v>
      </c>
      <c r="C18" s="88">
        <v>0</v>
      </c>
      <c r="D18" s="88">
        <v>0</v>
      </c>
      <c r="E18" s="114">
        <v>1175</v>
      </c>
      <c r="F18" s="115">
        <f>SUM(Tabla19[[#This Row],[En proceso 
de Notificación]:[Concluidas]])</f>
        <v>1175</v>
      </c>
    </row>
    <row r="19" spans="2:6" x14ac:dyDescent="0.25">
      <c r="B19" s="87" t="s">
        <v>51</v>
      </c>
      <c r="C19" s="91">
        <v>0</v>
      </c>
      <c r="D19" s="91">
        <v>0</v>
      </c>
      <c r="E19" s="116">
        <v>2031</v>
      </c>
      <c r="F19" s="115">
        <f>SUM(Tabla19[[#This Row],[En proceso 
de Notificación]:[Concluidas]])</f>
        <v>2031</v>
      </c>
    </row>
    <row r="20" spans="2:6" x14ac:dyDescent="0.25">
      <c r="B20" s="87" t="s">
        <v>52</v>
      </c>
      <c r="C20" s="88">
        <v>0</v>
      </c>
      <c r="D20" s="88">
        <v>0</v>
      </c>
      <c r="E20" s="114">
        <v>2788</v>
      </c>
      <c r="F20" s="115">
        <f>SUM(Tabla19[[#This Row],[En proceso 
de Notificación]:[Concluidas]])</f>
        <v>2788</v>
      </c>
    </row>
    <row r="21" spans="2:6" x14ac:dyDescent="0.25">
      <c r="B21" s="87" t="s">
        <v>53</v>
      </c>
      <c r="C21" s="91">
        <v>0</v>
      </c>
      <c r="D21" s="91">
        <v>0</v>
      </c>
      <c r="E21" s="116">
        <v>2026</v>
      </c>
      <c r="F21" s="115">
        <f>SUM(Tabla19[[#This Row],[En proceso 
de Notificación]:[Concluidas]])</f>
        <v>2026</v>
      </c>
    </row>
    <row r="22" spans="2:6" x14ac:dyDescent="0.25">
      <c r="B22" s="87" t="s">
        <v>54</v>
      </c>
      <c r="C22" s="88">
        <v>0</v>
      </c>
      <c r="D22" s="88">
        <v>0</v>
      </c>
      <c r="E22" s="114">
        <v>846</v>
      </c>
      <c r="F22" s="115">
        <f>SUM(Tabla19[[#This Row],[En proceso 
de Notificación]:[Concluidas]])</f>
        <v>846</v>
      </c>
    </row>
    <row r="23" spans="2:6" x14ac:dyDescent="0.25">
      <c r="B23" s="87" t="s">
        <v>55</v>
      </c>
      <c r="C23" s="91">
        <v>0</v>
      </c>
      <c r="D23" s="91">
        <v>0</v>
      </c>
      <c r="E23" s="116">
        <v>516</v>
      </c>
      <c r="F23" s="115">
        <f>SUM(Tabla19[[#This Row],[En proceso 
de Notificación]:[Concluidas]])</f>
        <v>516</v>
      </c>
    </row>
    <row r="24" spans="2:6" x14ac:dyDescent="0.25">
      <c r="B24" s="87" t="s">
        <v>56</v>
      </c>
      <c r="C24" s="88">
        <v>0</v>
      </c>
      <c r="D24" s="88">
        <v>0</v>
      </c>
      <c r="E24" s="117">
        <v>556</v>
      </c>
      <c r="F24" s="115">
        <f>SUM(Tabla19[[#This Row],[En proceso 
de Notificación]:[Concluidas]])</f>
        <v>556</v>
      </c>
    </row>
    <row r="25" spans="2:6" x14ac:dyDescent="0.25">
      <c r="B25" s="87" t="s">
        <v>57</v>
      </c>
      <c r="C25" s="91">
        <v>0</v>
      </c>
      <c r="D25" s="91">
        <v>0</v>
      </c>
      <c r="E25" s="118">
        <v>319</v>
      </c>
      <c r="F25" s="115">
        <f>SUM(Tabla19[[#This Row],[En proceso 
de Notificación]:[Concluidas]])</f>
        <v>319</v>
      </c>
    </row>
    <row r="26" spans="2:6" x14ac:dyDescent="0.25">
      <c r="B26" s="87" t="s">
        <v>58</v>
      </c>
      <c r="C26" s="88">
        <v>48</v>
      </c>
      <c r="D26" s="88">
        <v>79</v>
      </c>
      <c r="E26" s="117">
        <v>160</v>
      </c>
      <c r="F26" s="115">
        <f>SUM(Tabla19[[#This Row],[En proceso 
de Notificación]:[Concluidas]])</f>
        <v>287</v>
      </c>
    </row>
    <row r="27" spans="2:6" x14ac:dyDescent="0.25">
      <c r="B27" s="93" t="s">
        <v>34</v>
      </c>
      <c r="C27" s="94">
        <f>SUBTOTAL(109,C4:C26)</f>
        <v>48</v>
      </c>
      <c r="D27" s="94">
        <f>SUBTOTAL(109,D4:D26)</f>
        <v>79</v>
      </c>
      <c r="E27" s="119">
        <f>SUBTOTAL(109,E4:E26)</f>
        <v>24133</v>
      </c>
      <c r="F27" s="115">
        <f>SUM(Tabla19[[#This Row],[En proceso 
de Notificación]:[Concluidas]])</f>
        <v>24260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5D6B-B2E5-4420-8B0F-2DC18675BF95}">
  <dimension ref="B3:Z34"/>
  <sheetViews>
    <sheetView workbookViewId="0">
      <selection activeCell="B3" sqref="B3:Z34"/>
    </sheetView>
  </sheetViews>
  <sheetFormatPr baseColWidth="10" defaultRowHeight="15" x14ac:dyDescent="0.25"/>
  <sheetData>
    <row r="3" spans="2:26" x14ac:dyDescent="0.25">
      <c r="B3" s="120" t="s">
        <v>0</v>
      </c>
      <c r="C3" s="121" t="s">
        <v>35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3"/>
      <c r="Z3" s="124" t="s">
        <v>34</v>
      </c>
    </row>
    <row r="4" spans="2:26" x14ac:dyDescent="0.25">
      <c r="B4" s="120"/>
      <c r="C4" s="125" t="s">
        <v>36</v>
      </c>
      <c r="D4" s="125" t="s">
        <v>37</v>
      </c>
      <c r="E4" s="125" t="s">
        <v>38</v>
      </c>
      <c r="F4" s="125" t="s">
        <v>39</v>
      </c>
      <c r="G4" s="125" t="s">
        <v>40</v>
      </c>
      <c r="H4" s="125" t="s">
        <v>41</v>
      </c>
      <c r="I4" s="125" t="s">
        <v>42</v>
      </c>
      <c r="J4" s="125" t="s">
        <v>43</v>
      </c>
      <c r="K4" s="125" t="s">
        <v>44</v>
      </c>
      <c r="L4" s="125" t="s">
        <v>45</v>
      </c>
      <c r="M4" s="125" t="s">
        <v>46</v>
      </c>
      <c r="N4" s="125" t="s">
        <v>47</v>
      </c>
      <c r="O4" s="125" t="s">
        <v>48</v>
      </c>
      <c r="P4" s="125" t="s">
        <v>49</v>
      </c>
      <c r="Q4" s="125" t="s">
        <v>50</v>
      </c>
      <c r="R4" s="125" t="s">
        <v>51</v>
      </c>
      <c r="S4" s="125" t="s">
        <v>52</v>
      </c>
      <c r="T4" s="125" t="s">
        <v>53</v>
      </c>
      <c r="U4" s="125" t="s">
        <v>54</v>
      </c>
      <c r="V4" s="125" t="s">
        <v>55</v>
      </c>
      <c r="W4" s="126" t="s">
        <v>56</v>
      </c>
      <c r="X4" s="126" t="s">
        <v>57</v>
      </c>
      <c r="Y4" s="126" t="s">
        <v>58</v>
      </c>
      <c r="Z4" s="124"/>
    </row>
    <row r="5" spans="2:26" ht="16.5" x14ac:dyDescent="0.25">
      <c r="B5" s="127" t="s">
        <v>10</v>
      </c>
      <c r="C5" s="128">
        <v>21</v>
      </c>
      <c r="D5" s="128">
        <v>43</v>
      </c>
      <c r="E5" s="128">
        <v>41</v>
      </c>
      <c r="F5" s="128">
        <v>41</v>
      </c>
      <c r="G5" s="128">
        <v>66</v>
      </c>
      <c r="H5" s="128">
        <v>47</v>
      </c>
      <c r="I5" s="128">
        <v>123</v>
      </c>
      <c r="J5" s="128">
        <v>142</v>
      </c>
      <c r="K5" s="128">
        <v>157</v>
      </c>
      <c r="L5" s="128">
        <v>140</v>
      </c>
      <c r="M5" s="128">
        <v>285</v>
      </c>
      <c r="N5" s="128">
        <v>169</v>
      </c>
      <c r="O5" s="128">
        <v>275</v>
      </c>
      <c r="P5" s="128">
        <v>337</v>
      </c>
      <c r="Q5" s="128">
        <v>229</v>
      </c>
      <c r="R5" s="128">
        <v>285</v>
      </c>
      <c r="S5" s="128">
        <v>387</v>
      </c>
      <c r="T5" s="128">
        <v>108</v>
      </c>
      <c r="U5" s="128">
        <v>119</v>
      </c>
      <c r="V5" s="128">
        <v>65</v>
      </c>
      <c r="W5" s="129">
        <v>73</v>
      </c>
      <c r="X5" s="129">
        <v>22</v>
      </c>
      <c r="Y5" s="129">
        <v>9</v>
      </c>
      <c r="Z5" s="130">
        <f>SUM(Tabla39[[#This Row],[2002]:[2024]])</f>
        <v>3184</v>
      </c>
    </row>
    <row r="6" spans="2:26" x14ac:dyDescent="0.25">
      <c r="B6" s="127" t="s">
        <v>11</v>
      </c>
      <c r="C6" s="131">
        <v>16</v>
      </c>
      <c r="D6" s="131" t="s">
        <v>59</v>
      </c>
      <c r="E6" s="131">
        <v>43</v>
      </c>
      <c r="F6" s="131">
        <v>19</v>
      </c>
      <c r="G6" s="131">
        <v>47</v>
      </c>
      <c r="H6" s="131">
        <v>40</v>
      </c>
      <c r="I6" s="131">
        <v>70</v>
      </c>
      <c r="J6" s="131">
        <v>55</v>
      </c>
      <c r="K6" s="131">
        <v>53</v>
      </c>
      <c r="L6" s="131">
        <v>213</v>
      </c>
      <c r="M6" s="131">
        <v>199</v>
      </c>
      <c r="N6" s="131">
        <v>403</v>
      </c>
      <c r="O6" s="131">
        <v>97</v>
      </c>
      <c r="P6" s="131">
        <v>94</v>
      </c>
      <c r="Q6" s="131">
        <v>99</v>
      </c>
      <c r="R6" s="131">
        <v>157</v>
      </c>
      <c r="S6" s="131">
        <v>408</v>
      </c>
      <c r="T6" s="131">
        <v>232</v>
      </c>
      <c r="U6" s="131">
        <v>162</v>
      </c>
      <c r="V6" s="131">
        <v>63</v>
      </c>
      <c r="W6" s="131">
        <v>145</v>
      </c>
      <c r="X6" s="131">
        <v>71</v>
      </c>
      <c r="Y6" s="131">
        <v>22</v>
      </c>
      <c r="Z6" s="130">
        <f>SUM(Tabla39[[#This Row],[2002]:[2024]])</f>
        <v>2708</v>
      </c>
    </row>
    <row r="7" spans="2:26" ht="24.75" x14ac:dyDescent="0.25">
      <c r="B7" s="127" t="s">
        <v>12</v>
      </c>
      <c r="C7" s="128">
        <v>4</v>
      </c>
      <c r="D7" s="128">
        <v>28</v>
      </c>
      <c r="E7" s="128">
        <v>48</v>
      </c>
      <c r="F7" s="128">
        <v>31</v>
      </c>
      <c r="G7" s="128">
        <v>44</v>
      </c>
      <c r="H7" s="128">
        <v>61</v>
      </c>
      <c r="I7" s="128">
        <v>111</v>
      </c>
      <c r="J7" s="128">
        <v>143</v>
      </c>
      <c r="K7" s="128">
        <v>75</v>
      </c>
      <c r="L7" s="128">
        <v>165</v>
      </c>
      <c r="M7" s="128">
        <v>80</v>
      </c>
      <c r="N7" s="128">
        <v>237</v>
      </c>
      <c r="O7" s="128">
        <v>175</v>
      </c>
      <c r="P7" s="128">
        <v>94</v>
      </c>
      <c r="Q7" s="128">
        <v>135</v>
      </c>
      <c r="R7" s="128">
        <v>139</v>
      </c>
      <c r="S7" s="128">
        <v>336</v>
      </c>
      <c r="T7" s="128">
        <v>264</v>
      </c>
      <c r="U7" s="128">
        <v>14</v>
      </c>
      <c r="V7" s="128">
        <v>13</v>
      </c>
      <c r="W7" s="128">
        <v>12</v>
      </c>
      <c r="X7" s="128">
        <v>18</v>
      </c>
      <c r="Y7" s="128">
        <v>5</v>
      </c>
      <c r="Z7" s="130">
        <f>SUM(Tabla39[[#This Row],[2002]:[2024]])</f>
        <v>2232</v>
      </c>
    </row>
    <row r="8" spans="2:26" ht="33" x14ac:dyDescent="0.25">
      <c r="B8" s="127" t="s">
        <v>9</v>
      </c>
      <c r="C8" s="131">
        <v>40</v>
      </c>
      <c r="D8" s="131">
        <v>41</v>
      </c>
      <c r="E8" s="131">
        <v>6</v>
      </c>
      <c r="F8" s="131">
        <v>19</v>
      </c>
      <c r="G8" s="131">
        <v>51</v>
      </c>
      <c r="H8" s="131">
        <v>29</v>
      </c>
      <c r="I8" s="131">
        <v>55</v>
      </c>
      <c r="J8" s="131">
        <v>64</v>
      </c>
      <c r="K8" s="131">
        <v>103</v>
      </c>
      <c r="L8" s="131">
        <v>49</v>
      </c>
      <c r="M8" s="131">
        <v>22</v>
      </c>
      <c r="N8" s="131">
        <v>19</v>
      </c>
      <c r="O8" s="131">
        <v>79</v>
      </c>
      <c r="P8" s="131">
        <v>129</v>
      </c>
      <c r="Q8" s="131">
        <v>54</v>
      </c>
      <c r="R8" s="131">
        <v>109</v>
      </c>
      <c r="S8" s="131">
        <v>329</v>
      </c>
      <c r="T8" s="131">
        <v>31</v>
      </c>
      <c r="U8" s="131">
        <v>113</v>
      </c>
      <c r="V8" s="131">
        <v>26</v>
      </c>
      <c r="W8" s="131">
        <v>29</v>
      </c>
      <c r="X8" s="131">
        <v>39</v>
      </c>
      <c r="Y8" s="131">
        <v>25</v>
      </c>
      <c r="Z8" s="130">
        <f>SUM(Tabla39[[#This Row],[2002]:[2024]])</f>
        <v>1461</v>
      </c>
    </row>
    <row r="9" spans="2:26" ht="24.75" x14ac:dyDescent="0.25">
      <c r="B9" s="127" t="s">
        <v>5</v>
      </c>
      <c r="C9" s="128">
        <v>49</v>
      </c>
      <c r="D9" s="128">
        <v>55</v>
      </c>
      <c r="E9" s="128">
        <v>28</v>
      </c>
      <c r="F9" s="128">
        <v>53</v>
      </c>
      <c r="G9" s="128">
        <v>36</v>
      </c>
      <c r="H9" s="128">
        <v>81</v>
      </c>
      <c r="I9" s="128">
        <v>132</v>
      </c>
      <c r="J9" s="128">
        <v>67</v>
      </c>
      <c r="K9" s="128">
        <v>103</v>
      </c>
      <c r="L9" s="128">
        <v>55</v>
      </c>
      <c r="M9" s="128">
        <v>80</v>
      </c>
      <c r="N9" s="128">
        <v>20</v>
      </c>
      <c r="O9" s="128">
        <v>26</v>
      </c>
      <c r="P9" s="128">
        <v>12</v>
      </c>
      <c r="Q9" s="128">
        <v>6</v>
      </c>
      <c r="R9" s="128">
        <v>70</v>
      </c>
      <c r="S9" s="128">
        <v>182</v>
      </c>
      <c r="T9" s="128">
        <v>174</v>
      </c>
      <c r="U9" s="128">
        <v>106</v>
      </c>
      <c r="V9" s="128">
        <v>28</v>
      </c>
      <c r="W9" s="128">
        <v>12</v>
      </c>
      <c r="X9" s="128">
        <v>19</v>
      </c>
      <c r="Y9" s="128">
        <v>4</v>
      </c>
      <c r="Z9" s="130">
        <f>SUM(Tabla39[[#This Row],[2002]:[2024]])</f>
        <v>1398</v>
      </c>
    </row>
    <row r="10" spans="2:26" ht="24.75" x14ac:dyDescent="0.25">
      <c r="B10" s="127" t="s">
        <v>13</v>
      </c>
      <c r="C10" s="131">
        <v>9</v>
      </c>
      <c r="D10" s="131">
        <v>30</v>
      </c>
      <c r="E10" s="131">
        <v>42</v>
      </c>
      <c r="F10" s="131">
        <v>40</v>
      </c>
      <c r="G10" s="131">
        <v>13</v>
      </c>
      <c r="H10" s="131">
        <v>18</v>
      </c>
      <c r="I10" s="131">
        <v>15</v>
      </c>
      <c r="J10" s="131">
        <v>76</v>
      </c>
      <c r="K10" s="131">
        <v>79</v>
      </c>
      <c r="L10" s="131">
        <v>49</v>
      </c>
      <c r="M10" s="131">
        <v>127</v>
      </c>
      <c r="N10" s="131">
        <v>100</v>
      </c>
      <c r="O10" s="131">
        <v>50</v>
      </c>
      <c r="P10" s="131">
        <v>62</v>
      </c>
      <c r="Q10" s="131">
        <v>81</v>
      </c>
      <c r="R10" s="131">
        <v>144</v>
      </c>
      <c r="S10" s="131">
        <v>191</v>
      </c>
      <c r="T10" s="131">
        <v>41</v>
      </c>
      <c r="U10" s="131">
        <v>14</v>
      </c>
      <c r="V10" s="131">
        <v>69</v>
      </c>
      <c r="W10" s="131">
        <v>40</v>
      </c>
      <c r="X10" s="131">
        <v>4</v>
      </c>
      <c r="Y10" s="131">
        <v>13</v>
      </c>
      <c r="Z10" s="130">
        <f>SUM(Tabla39[[#This Row],[2002]:[2024]])</f>
        <v>1307</v>
      </c>
    </row>
    <row r="11" spans="2:26" ht="24.75" x14ac:dyDescent="0.25">
      <c r="B11" s="127" t="s">
        <v>6</v>
      </c>
      <c r="C11" s="128">
        <v>11</v>
      </c>
      <c r="D11" s="128">
        <v>17</v>
      </c>
      <c r="E11" s="128">
        <v>60</v>
      </c>
      <c r="F11" s="128">
        <v>13</v>
      </c>
      <c r="G11" s="128">
        <v>14</v>
      </c>
      <c r="H11" s="128">
        <v>63</v>
      </c>
      <c r="I11" s="128">
        <v>56</v>
      </c>
      <c r="J11" s="128">
        <v>82</v>
      </c>
      <c r="K11" s="128">
        <v>64</v>
      </c>
      <c r="L11" s="128">
        <v>58</v>
      </c>
      <c r="M11" s="128">
        <v>36</v>
      </c>
      <c r="N11" s="128">
        <v>29</v>
      </c>
      <c r="O11" s="128">
        <v>70</v>
      </c>
      <c r="P11" s="128">
        <v>16</v>
      </c>
      <c r="Q11" s="128">
        <v>52</v>
      </c>
      <c r="R11" s="128">
        <v>85</v>
      </c>
      <c r="S11" s="128">
        <v>273</v>
      </c>
      <c r="T11" s="128">
        <v>170</v>
      </c>
      <c r="U11" s="128">
        <v>43</v>
      </c>
      <c r="V11" s="128">
        <v>31</v>
      </c>
      <c r="W11" s="128">
        <v>10</v>
      </c>
      <c r="X11" s="128">
        <v>2</v>
      </c>
      <c r="Y11" s="128">
        <v>4</v>
      </c>
      <c r="Z11" s="130">
        <f>SUM(Tabla39[[#This Row],[2002]:[2024]])</f>
        <v>1259</v>
      </c>
    </row>
    <row r="12" spans="2:26" x14ac:dyDescent="0.25">
      <c r="B12" s="127" t="s">
        <v>15</v>
      </c>
      <c r="C12" s="131">
        <v>30</v>
      </c>
      <c r="D12" s="131">
        <v>23</v>
      </c>
      <c r="E12" s="131">
        <v>24</v>
      </c>
      <c r="F12" s="131">
        <v>12</v>
      </c>
      <c r="G12" s="131">
        <v>20</v>
      </c>
      <c r="H12" s="131">
        <v>18</v>
      </c>
      <c r="I12" s="131">
        <v>98</v>
      </c>
      <c r="J12" s="131">
        <v>64</v>
      </c>
      <c r="K12" s="131">
        <v>16</v>
      </c>
      <c r="L12" s="131">
        <v>34</v>
      </c>
      <c r="M12" s="131">
        <v>12</v>
      </c>
      <c r="N12" s="131">
        <v>176</v>
      </c>
      <c r="O12" s="131">
        <v>51</v>
      </c>
      <c r="P12" s="131">
        <v>35</v>
      </c>
      <c r="Q12" s="131">
        <v>182</v>
      </c>
      <c r="R12" s="131">
        <v>138</v>
      </c>
      <c r="S12" s="131">
        <v>25</v>
      </c>
      <c r="T12" s="131">
        <v>123</v>
      </c>
      <c r="U12" s="131">
        <v>37</v>
      </c>
      <c r="V12" s="131">
        <v>38</v>
      </c>
      <c r="W12" s="131">
        <v>32</v>
      </c>
      <c r="X12" s="131" t="s">
        <v>59</v>
      </c>
      <c r="Y12" s="131" t="s">
        <v>59</v>
      </c>
      <c r="Z12" s="130">
        <f>SUM(Tabla39[[#This Row],[2002]:[2024]])</f>
        <v>1188</v>
      </c>
    </row>
    <row r="13" spans="2:26" x14ac:dyDescent="0.25">
      <c r="B13" s="127" t="s">
        <v>24</v>
      </c>
      <c r="C13" s="128">
        <v>10</v>
      </c>
      <c r="D13" s="128" t="s">
        <v>59</v>
      </c>
      <c r="E13" s="128" t="s">
        <v>59</v>
      </c>
      <c r="F13" s="128">
        <v>1</v>
      </c>
      <c r="G13" s="128">
        <v>18</v>
      </c>
      <c r="H13" s="128">
        <v>22</v>
      </c>
      <c r="I13" s="128">
        <v>21</v>
      </c>
      <c r="J13" s="128">
        <v>33</v>
      </c>
      <c r="K13" s="128">
        <v>121</v>
      </c>
      <c r="L13" s="128">
        <v>79</v>
      </c>
      <c r="M13" s="128">
        <v>90</v>
      </c>
      <c r="N13" s="128">
        <v>28</v>
      </c>
      <c r="O13" s="128" t="s">
        <v>59</v>
      </c>
      <c r="P13" s="128">
        <v>42</v>
      </c>
      <c r="Q13" s="128">
        <v>40</v>
      </c>
      <c r="R13" s="128">
        <v>353</v>
      </c>
      <c r="S13" s="128" t="s">
        <v>59</v>
      </c>
      <c r="T13" s="128">
        <v>58</v>
      </c>
      <c r="U13" s="128" t="s">
        <v>59</v>
      </c>
      <c r="V13" s="128">
        <v>35</v>
      </c>
      <c r="W13" s="128">
        <v>36</v>
      </c>
      <c r="X13" s="128">
        <v>36</v>
      </c>
      <c r="Y13" s="128">
        <v>38</v>
      </c>
      <c r="Z13" s="130">
        <f>SUM(Tabla39[[#This Row],[2002]:[2024]])</f>
        <v>1061</v>
      </c>
    </row>
    <row r="14" spans="2:26" ht="41.25" x14ac:dyDescent="0.25">
      <c r="B14" s="127" t="s">
        <v>8</v>
      </c>
      <c r="C14" s="131">
        <v>12</v>
      </c>
      <c r="D14" s="131">
        <v>20</v>
      </c>
      <c r="E14" s="131">
        <v>56</v>
      </c>
      <c r="F14" s="131">
        <v>48</v>
      </c>
      <c r="G14" s="131">
        <v>33</v>
      </c>
      <c r="H14" s="131">
        <v>16</v>
      </c>
      <c r="I14" s="131">
        <v>105</v>
      </c>
      <c r="J14" s="131">
        <v>60</v>
      </c>
      <c r="K14" s="131">
        <v>70</v>
      </c>
      <c r="L14" s="131">
        <v>46</v>
      </c>
      <c r="M14" s="131">
        <v>14</v>
      </c>
      <c r="N14" s="131">
        <v>64</v>
      </c>
      <c r="O14" s="131">
        <v>23</v>
      </c>
      <c r="P14" s="131">
        <v>35</v>
      </c>
      <c r="Q14" s="131">
        <v>53</v>
      </c>
      <c r="R14" s="131">
        <v>1</v>
      </c>
      <c r="S14" s="131">
        <v>76</v>
      </c>
      <c r="T14" s="131">
        <v>203</v>
      </c>
      <c r="U14" s="131">
        <v>20</v>
      </c>
      <c r="V14" s="131">
        <v>20</v>
      </c>
      <c r="W14" s="131">
        <v>40</v>
      </c>
      <c r="X14" s="131">
        <v>29</v>
      </c>
      <c r="Y14" s="131">
        <v>3</v>
      </c>
      <c r="Z14" s="130">
        <f>SUM(Tabla39[[#This Row],[2002]:[2024]])</f>
        <v>1047</v>
      </c>
    </row>
    <row r="15" spans="2:26" ht="24.75" x14ac:dyDescent="0.25">
      <c r="B15" s="127" t="s">
        <v>4</v>
      </c>
      <c r="C15" s="128" t="s">
        <v>59</v>
      </c>
      <c r="D15" s="128" t="s">
        <v>59</v>
      </c>
      <c r="E15" s="128" t="s">
        <v>59</v>
      </c>
      <c r="F15" s="128" t="s">
        <v>59</v>
      </c>
      <c r="G15" s="128">
        <v>48</v>
      </c>
      <c r="H15" s="128">
        <v>792</v>
      </c>
      <c r="I15" s="128">
        <v>54</v>
      </c>
      <c r="J15" s="128" t="s">
        <v>59</v>
      </c>
      <c r="K15" s="128" t="s">
        <v>59</v>
      </c>
      <c r="L15" s="128" t="s">
        <v>59</v>
      </c>
      <c r="M15" s="128" t="s">
        <v>59</v>
      </c>
      <c r="N15" s="128" t="s">
        <v>59</v>
      </c>
      <c r="O15" s="128" t="s">
        <v>59</v>
      </c>
      <c r="P15" s="128" t="s">
        <v>59</v>
      </c>
      <c r="Q15" s="128" t="s">
        <v>59</v>
      </c>
      <c r="R15" s="128" t="s">
        <v>59</v>
      </c>
      <c r="S15" s="128" t="s">
        <v>59</v>
      </c>
      <c r="T15" s="128" t="s">
        <v>59</v>
      </c>
      <c r="U15" s="128" t="s">
        <v>59</v>
      </c>
      <c r="V15" s="128" t="s">
        <v>59</v>
      </c>
      <c r="W15" s="128" t="s">
        <v>59</v>
      </c>
      <c r="X15" s="128" t="s">
        <v>59</v>
      </c>
      <c r="Y15" s="128" t="s">
        <v>59</v>
      </c>
      <c r="Z15" s="130">
        <f>SUM(Tabla39[[#This Row],[2002]:[2024]])</f>
        <v>894</v>
      </c>
    </row>
    <row r="16" spans="2:26" ht="33" x14ac:dyDescent="0.25">
      <c r="B16" s="127" t="s">
        <v>23</v>
      </c>
      <c r="C16" s="131">
        <v>5</v>
      </c>
      <c r="D16" s="131">
        <v>11</v>
      </c>
      <c r="E16" s="131">
        <v>14</v>
      </c>
      <c r="F16" s="131">
        <v>6</v>
      </c>
      <c r="G16" s="131">
        <v>14</v>
      </c>
      <c r="H16" s="131" t="s">
        <v>59</v>
      </c>
      <c r="I16" s="131">
        <v>40</v>
      </c>
      <c r="J16" s="131">
        <v>41</v>
      </c>
      <c r="K16" s="131">
        <v>54</v>
      </c>
      <c r="L16" s="131">
        <v>24</v>
      </c>
      <c r="M16" s="131">
        <v>42</v>
      </c>
      <c r="N16" s="131">
        <v>80</v>
      </c>
      <c r="O16" s="131">
        <v>70</v>
      </c>
      <c r="P16" s="131">
        <v>52</v>
      </c>
      <c r="Q16" s="131">
        <v>52</v>
      </c>
      <c r="R16" s="131">
        <v>45</v>
      </c>
      <c r="S16" s="131">
        <v>143</v>
      </c>
      <c r="T16" s="131">
        <v>41</v>
      </c>
      <c r="U16" s="131">
        <v>26</v>
      </c>
      <c r="V16" s="131">
        <v>26</v>
      </c>
      <c r="W16" s="131">
        <v>9</v>
      </c>
      <c r="X16" s="131" t="s">
        <v>59</v>
      </c>
      <c r="Y16" s="131">
        <v>27</v>
      </c>
      <c r="Z16" s="130">
        <f>SUM(Tabla39[[#This Row],[2002]:[2024]])</f>
        <v>822</v>
      </c>
    </row>
    <row r="17" spans="2:26" x14ac:dyDescent="0.25">
      <c r="B17" s="127" t="s">
        <v>18</v>
      </c>
      <c r="C17" s="128">
        <v>13</v>
      </c>
      <c r="D17" s="128">
        <v>27</v>
      </c>
      <c r="E17" s="128">
        <v>1</v>
      </c>
      <c r="F17" s="128">
        <v>23</v>
      </c>
      <c r="G17" s="128">
        <v>26</v>
      </c>
      <c r="H17" s="128">
        <v>22</v>
      </c>
      <c r="I17" s="128">
        <v>49</v>
      </c>
      <c r="J17" s="128">
        <v>43</v>
      </c>
      <c r="K17" s="128">
        <v>29</v>
      </c>
      <c r="L17" s="128">
        <v>20</v>
      </c>
      <c r="M17" s="128">
        <v>110</v>
      </c>
      <c r="N17" s="128">
        <v>48</v>
      </c>
      <c r="O17" s="128">
        <v>43</v>
      </c>
      <c r="P17" s="128">
        <v>37</v>
      </c>
      <c r="Q17" s="128">
        <v>43</v>
      </c>
      <c r="R17" s="128">
        <v>73</v>
      </c>
      <c r="S17" s="128">
        <v>71</v>
      </c>
      <c r="T17" s="128">
        <v>85</v>
      </c>
      <c r="U17" s="128">
        <v>12</v>
      </c>
      <c r="V17" s="128">
        <v>16</v>
      </c>
      <c r="W17" s="128">
        <v>2</v>
      </c>
      <c r="X17" s="128">
        <v>19</v>
      </c>
      <c r="Y17" s="128">
        <v>4</v>
      </c>
      <c r="Z17" s="130">
        <f>SUM(Tabla39[[#This Row],[2002]:[2024]])</f>
        <v>816</v>
      </c>
    </row>
    <row r="18" spans="2:26" x14ac:dyDescent="0.25">
      <c r="B18" s="127" t="s">
        <v>22</v>
      </c>
      <c r="C18" s="131" t="s">
        <v>59</v>
      </c>
      <c r="D18" s="131" t="s">
        <v>59</v>
      </c>
      <c r="E18" s="131" t="s">
        <v>59</v>
      </c>
      <c r="F18" s="131" t="s">
        <v>59</v>
      </c>
      <c r="G18" s="131">
        <v>9</v>
      </c>
      <c r="H18" s="131">
        <v>42</v>
      </c>
      <c r="I18" s="131">
        <v>19</v>
      </c>
      <c r="J18" s="131">
        <v>59</v>
      </c>
      <c r="K18" s="131">
        <v>14</v>
      </c>
      <c r="L18" s="131">
        <v>12</v>
      </c>
      <c r="M18" s="131">
        <v>49</v>
      </c>
      <c r="N18" s="131">
        <v>69</v>
      </c>
      <c r="O18" s="131">
        <v>60</v>
      </c>
      <c r="P18" s="131">
        <v>47</v>
      </c>
      <c r="Q18" s="131">
        <v>7</v>
      </c>
      <c r="R18" s="131">
        <v>53</v>
      </c>
      <c r="S18" s="131">
        <v>75</v>
      </c>
      <c r="T18" s="131" t="s">
        <v>59</v>
      </c>
      <c r="U18" s="131">
        <v>28</v>
      </c>
      <c r="V18" s="131" t="s">
        <v>59</v>
      </c>
      <c r="W18" s="131">
        <v>12</v>
      </c>
      <c r="X18" s="131">
        <v>17</v>
      </c>
      <c r="Y18" s="131" t="s">
        <v>59</v>
      </c>
      <c r="Z18" s="130">
        <f>SUM(Tabla39[[#This Row],[2002]:[2024]])</f>
        <v>572</v>
      </c>
    </row>
    <row r="19" spans="2:26" x14ac:dyDescent="0.25">
      <c r="B19" s="127" t="s">
        <v>20</v>
      </c>
      <c r="C19" s="128">
        <v>7</v>
      </c>
      <c r="D19" s="128">
        <v>13</v>
      </c>
      <c r="E19" s="128">
        <v>1</v>
      </c>
      <c r="F19" s="128">
        <v>20</v>
      </c>
      <c r="G19" s="128">
        <v>20</v>
      </c>
      <c r="H19" s="128">
        <v>15</v>
      </c>
      <c r="I19" s="128">
        <v>28</v>
      </c>
      <c r="J19" s="128">
        <v>19</v>
      </c>
      <c r="K19" s="128">
        <v>43</v>
      </c>
      <c r="L19" s="128">
        <v>13</v>
      </c>
      <c r="M19" s="128">
        <v>15</v>
      </c>
      <c r="N19" s="128">
        <v>19</v>
      </c>
      <c r="O19" s="128">
        <v>34</v>
      </c>
      <c r="P19" s="128">
        <v>47</v>
      </c>
      <c r="Q19" s="128">
        <v>30</v>
      </c>
      <c r="R19" s="128">
        <v>48</v>
      </c>
      <c r="S19" s="128" t="s">
        <v>59</v>
      </c>
      <c r="T19" s="128">
        <v>69</v>
      </c>
      <c r="U19" s="128">
        <v>36</v>
      </c>
      <c r="V19" s="128">
        <v>40</v>
      </c>
      <c r="W19" s="128" t="s">
        <v>59</v>
      </c>
      <c r="X19" s="128" t="s">
        <v>59</v>
      </c>
      <c r="Y19" s="128">
        <v>21</v>
      </c>
      <c r="Z19" s="130">
        <f>SUM(Tabla39[[#This Row],[2002]:[2024]])</f>
        <v>538</v>
      </c>
    </row>
    <row r="20" spans="2:26" ht="24.75" x14ac:dyDescent="0.25">
      <c r="B20" s="127" t="s">
        <v>19</v>
      </c>
      <c r="C20" s="131" t="s">
        <v>59</v>
      </c>
      <c r="D20" s="131" t="s">
        <v>59</v>
      </c>
      <c r="E20" s="131">
        <v>32</v>
      </c>
      <c r="F20" s="131">
        <v>22</v>
      </c>
      <c r="G20" s="131">
        <v>16</v>
      </c>
      <c r="H20" s="131">
        <v>10</v>
      </c>
      <c r="I20" s="131">
        <v>28</v>
      </c>
      <c r="J20" s="131">
        <v>66</v>
      </c>
      <c r="K20" s="131">
        <v>13</v>
      </c>
      <c r="L20" s="131">
        <v>33</v>
      </c>
      <c r="M20" s="131">
        <v>42</v>
      </c>
      <c r="N20" s="131">
        <v>21</v>
      </c>
      <c r="O20" s="131">
        <v>3</v>
      </c>
      <c r="P20" s="131">
        <v>23</v>
      </c>
      <c r="Q20" s="131">
        <v>5</v>
      </c>
      <c r="R20" s="131">
        <v>58</v>
      </c>
      <c r="S20" s="131" t="s">
        <v>59</v>
      </c>
      <c r="T20" s="131">
        <v>77</v>
      </c>
      <c r="U20" s="131">
        <v>23</v>
      </c>
      <c r="V20" s="131">
        <v>3</v>
      </c>
      <c r="W20" s="131" t="s">
        <v>59</v>
      </c>
      <c r="X20" s="131" t="s">
        <v>59</v>
      </c>
      <c r="Y20" s="131">
        <v>9</v>
      </c>
      <c r="Z20" s="130">
        <f>SUM(Tabla39[[#This Row],[2002]:[2024]])</f>
        <v>484</v>
      </c>
    </row>
    <row r="21" spans="2:26" x14ac:dyDescent="0.25">
      <c r="B21" s="127" t="s">
        <v>16</v>
      </c>
      <c r="C21" s="128" t="s">
        <v>59</v>
      </c>
      <c r="D21" s="128" t="s">
        <v>59</v>
      </c>
      <c r="E21" s="128">
        <v>10</v>
      </c>
      <c r="F21" s="128">
        <v>9</v>
      </c>
      <c r="G21" s="128">
        <v>14</v>
      </c>
      <c r="H21" s="128">
        <v>23</v>
      </c>
      <c r="I21" s="128">
        <v>10</v>
      </c>
      <c r="J21" s="128">
        <v>12</v>
      </c>
      <c r="K21" s="128">
        <v>24</v>
      </c>
      <c r="L21" s="128">
        <v>6</v>
      </c>
      <c r="M21" s="128">
        <v>26</v>
      </c>
      <c r="N21" s="128">
        <v>28</v>
      </c>
      <c r="O21" s="128">
        <v>19</v>
      </c>
      <c r="P21" s="128">
        <v>26</v>
      </c>
      <c r="Q21" s="128">
        <v>32</v>
      </c>
      <c r="R21" s="128">
        <v>22</v>
      </c>
      <c r="S21" s="128">
        <v>100</v>
      </c>
      <c r="T21" s="128">
        <v>9</v>
      </c>
      <c r="U21" s="128">
        <v>2</v>
      </c>
      <c r="V21" s="128">
        <v>3</v>
      </c>
      <c r="W21" s="128">
        <v>8</v>
      </c>
      <c r="X21" s="128">
        <v>10</v>
      </c>
      <c r="Y21" s="128">
        <v>15</v>
      </c>
      <c r="Z21" s="130">
        <f>SUM(Tabla39[[#This Row],[2002]:[2024]])</f>
        <v>408</v>
      </c>
    </row>
    <row r="22" spans="2:26" ht="33" x14ac:dyDescent="0.25">
      <c r="B22" s="127" t="s">
        <v>7</v>
      </c>
      <c r="C22" s="131" t="s">
        <v>59</v>
      </c>
      <c r="D22" s="131" t="s">
        <v>59</v>
      </c>
      <c r="E22" s="131">
        <v>61</v>
      </c>
      <c r="F22" s="131">
        <v>17</v>
      </c>
      <c r="G22" s="131">
        <v>15</v>
      </c>
      <c r="H22" s="131">
        <v>13</v>
      </c>
      <c r="I22" s="131">
        <v>6</v>
      </c>
      <c r="J22" s="131">
        <v>47</v>
      </c>
      <c r="K22" s="131">
        <v>21</v>
      </c>
      <c r="L22" s="131">
        <v>2</v>
      </c>
      <c r="M22" s="131" t="s">
        <v>59</v>
      </c>
      <c r="N22" s="131" t="s">
        <v>59</v>
      </c>
      <c r="O22" s="131">
        <v>17</v>
      </c>
      <c r="P22" s="131">
        <v>31</v>
      </c>
      <c r="Q22" s="131" t="s">
        <v>59</v>
      </c>
      <c r="R22" s="131">
        <v>36</v>
      </c>
      <c r="S22" s="131" t="s">
        <v>59</v>
      </c>
      <c r="T22" s="131">
        <v>53</v>
      </c>
      <c r="U22" s="131">
        <v>36</v>
      </c>
      <c r="V22" s="131">
        <v>16</v>
      </c>
      <c r="W22" s="131">
        <v>19</v>
      </c>
      <c r="X22" s="131">
        <v>9</v>
      </c>
      <c r="Y22" s="131" t="s">
        <v>59</v>
      </c>
      <c r="Z22" s="130">
        <f>SUM(Tabla39[[#This Row],[2002]:[2024]])</f>
        <v>399</v>
      </c>
    </row>
    <row r="23" spans="2:26" ht="16.5" x14ac:dyDescent="0.25">
      <c r="B23" s="127" t="s">
        <v>17</v>
      </c>
      <c r="C23" s="128">
        <v>14</v>
      </c>
      <c r="D23" s="128" t="s">
        <v>59</v>
      </c>
      <c r="E23" s="128" t="s">
        <v>59</v>
      </c>
      <c r="F23" s="128">
        <v>22</v>
      </c>
      <c r="G23" s="128">
        <v>28</v>
      </c>
      <c r="H23" s="128">
        <v>25</v>
      </c>
      <c r="I23" s="128">
        <v>29</v>
      </c>
      <c r="J23" s="128">
        <v>43</v>
      </c>
      <c r="K23" s="128">
        <v>36</v>
      </c>
      <c r="L23" s="128">
        <v>18</v>
      </c>
      <c r="M23" s="128" t="s">
        <v>59</v>
      </c>
      <c r="N23" s="128">
        <v>14</v>
      </c>
      <c r="O23" s="128">
        <v>6</v>
      </c>
      <c r="P23" s="128">
        <v>2</v>
      </c>
      <c r="Q23" s="128">
        <v>25</v>
      </c>
      <c r="R23" s="128">
        <v>18</v>
      </c>
      <c r="S23" s="128">
        <v>12</v>
      </c>
      <c r="T23" s="128">
        <v>57</v>
      </c>
      <c r="U23" s="128">
        <v>24</v>
      </c>
      <c r="V23" s="128" t="s">
        <v>59</v>
      </c>
      <c r="W23" s="128">
        <v>15</v>
      </c>
      <c r="X23" s="128" t="s">
        <v>59</v>
      </c>
      <c r="Y23" s="128">
        <v>11</v>
      </c>
      <c r="Z23" s="130">
        <f>SUM(Tabla39[[#This Row],[2002]:[2024]])</f>
        <v>399</v>
      </c>
    </row>
    <row r="24" spans="2:26" ht="24.75" x14ac:dyDescent="0.25">
      <c r="B24" s="127" t="s">
        <v>27</v>
      </c>
      <c r="C24" s="131">
        <v>3</v>
      </c>
      <c r="D24" s="131" t="s">
        <v>59</v>
      </c>
      <c r="E24" s="131">
        <v>28</v>
      </c>
      <c r="F24" s="131">
        <v>7</v>
      </c>
      <c r="G24" s="131">
        <v>27</v>
      </c>
      <c r="H24" s="131">
        <v>24</v>
      </c>
      <c r="I24" s="131">
        <v>30</v>
      </c>
      <c r="J24" s="131">
        <v>19</v>
      </c>
      <c r="K24" s="131">
        <v>19</v>
      </c>
      <c r="L24" s="131">
        <v>13</v>
      </c>
      <c r="M24" s="131">
        <v>1</v>
      </c>
      <c r="N24" s="131">
        <v>20</v>
      </c>
      <c r="O24" s="131">
        <v>10</v>
      </c>
      <c r="P24" s="131">
        <v>12</v>
      </c>
      <c r="Q24" s="131">
        <v>19</v>
      </c>
      <c r="R24" s="131">
        <v>31</v>
      </c>
      <c r="S24" s="131" t="s">
        <v>59</v>
      </c>
      <c r="T24" s="131">
        <v>56</v>
      </c>
      <c r="U24" s="131" t="s">
        <v>59</v>
      </c>
      <c r="V24" s="131">
        <v>18</v>
      </c>
      <c r="W24" s="131">
        <v>9</v>
      </c>
      <c r="X24" s="131">
        <v>10</v>
      </c>
      <c r="Y24" s="131">
        <v>15</v>
      </c>
      <c r="Z24" s="130">
        <f>SUM(Tabla39[[#This Row],[2002]:[2024]])</f>
        <v>371</v>
      </c>
    </row>
    <row r="25" spans="2:26" ht="24.75" x14ac:dyDescent="0.25">
      <c r="B25" s="127" t="s">
        <v>28</v>
      </c>
      <c r="C25" s="128">
        <v>30</v>
      </c>
      <c r="D25" s="128">
        <v>1</v>
      </c>
      <c r="E25" s="128">
        <v>8</v>
      </c>
      <c r="F25" s="128">
        <v>15</v>
      </c>
      <c r="G25" s="128">
        <v>3</v>
      </c>
      <c r="H25" s="128">
        <v>37</v>
      </c>
      <c r="I25" s="128">
        <v>46</v>
      </c>
      <c r="J25" s="128">
        <v>46</v>
      </c>
      <c r="K25" s="128">
        <v>50</v>
      </c>
      <c r="L25" s="128" t="s">
        <v>59</v>
      </c>
      <c r="M25" s="128">
        <v>17</v>
      </c>
      <c r="N25" s="128" t="s">
        <v>59</v>
      </c>
      <c r="O25" s="128">
        <v>1</v>
      </c>
      <c r="P25" s="128">
        <v>13</v>
      </c>
      <c r="Q25" s="128" t="s">
        <v>59</v>
      </c>
      <c r="R25" s="128" t="s">
        <v>59</v>
      </c>
      <c r="S25" s="128">
        <v>10</v>
      </c>
      <c r="T25" s="128">
        <v>27</v>
      </c>
      <c r="U25" s="128" t="s">
        <v>59</v>
      </c>
      <c r="V25" s="128" t="s">
        <v>59</v>
      </c>
      <c r="W25" s="128" t="s">
        <v>59</v>
      </c>
      <c r="X25" s="128" t="s">
        <v>59</v>
      </c>
      <c r="Y25" s="128" t="s">
        <v>59</v>
      </c>
      <c r="Z25" s="130">
        <f>SUM(Tabla39[[#This Row],[2002]:[2024]])</f>
        <v>304</v>
      </c>
    </row>
    <row r="26" spans="2:26" ht="16.5" x14ac:dyDescent="0.25">
      <c r="B26" s="127" t="s">
        <v>29</v>
      </c>
      <c r="C26" s="131" t="s">
        <v>59</v>
      </c>
      <c r="D26" s="131" t="s">
        <v>59</v>
      </c>
      <c r="E26" s="131">
        <v>7</v>
      </c>
      <c r="F26" s="131">
        <v>7</v>
      </c>
      <c r="G26" s="131">
        <v>15</v>
      </c>
      <c r="H26" s="131">
        <v>7</v>
      </c>
      <c r="I26" s="131">
        <v>46</v>
      </c>
      <c r="J26" s="131">
        <v>48</v>
      </c>
      <c r="K26" s="131">
        <v>14</v>
      </c>
      <c r="L26" s="131">
        <v>12</v>
      </c>
      <c r="M26" s="131">
        <v>27</v>
      </c>
      <c r="N26" s="131">
        <v>16</v>
      </c>
      <c r="O26" s="131">
        <v>2</v>
      </c>
      <c r="P26" s="131">
        <v>18</v>
      </c>
      <c r="Q26" s="131">
        <v>2</v>
      </c>
      <c r="R26" s="131">
        <v>10</v>
      </c>
      <c r="S26" s="131">
        <v>11</v>
      </c>
      <c r="T26" s="131">
        <v>36</v>
      </c>
      <c r="U26" s="131">
        <v>4</v>
      </c>
      <c r="V26" s="131" t="s">
        <v>59</v>
      </c>
      <c r="W26" s="131">
        <v>2</v>
      </c>
      <c r="X26" s="131" t="s">
        <v>59</v>
      </c>
      <c r="Y26" s="131">
        <v>15</v>
      </c>
      <c r="Z26" s="130">
        <f>SUM(Tabla39[[#This Row],[2002]:[2024]])</f>
        <v>299</v>
      </c>
    </row>
    <row r="27" spans="2:26" ht="33" x14ac:dyDescent="0.25">
      <c r="B27" s="127" t="s">
        <v>25</v>
      </c>
      <c r="C27" s="128" t="s">
        <v>59</v>
      </c>
      <c r="D27" s="128" t="s">
        <v>59</v>
      </c>
      <c r="E27" s="128" t="s">
        <v>59</v>
      </c>
      <c r="F27" s="128">
        <v>4</v>
      </c>
      <c r="G27" s="128" t="s">
        <v>59</v>
      </c>
      <c r="H27" s="128">
        <v>2</v>
      </c>
      <c r="I27" s="128" t="s">
        <v>59</v>
      </c>
      <c r="J27" s="128">
        <v>13</v>
      </c>
      <c r="K27" s="128">
        <v>14</v>
      </c>
      <c r="L27" s="128">
        <v>15</v>
      </c>
      <c r="M27" s="128">
        <v>24</v>
      </c>
      <c r="N27" s="128">
        <v>10</v>
      </c>
      <c r="O27" s="128">
        <v>5</v>
      </c>
      <c r="P27" s="128">
        <v>31</v>
      </c>
      <c r="Q27" s="128">
        <v>22</v>
      </c>
      <c r="R27" s="128">
        <v>6</v>
      </c>
      <c r="S27" s="128">
        <v>34</v>
      </c>
      <c r="T27" s="128">
        <v>49</v>
      </c>
      <c r="U27" s="128" t="s">
        <v>59</v>
      </c>
      <c r="V27" s="128" t="s">
        <v>59</v>
      </c>
      <c r="W27" s="128">
        <v>48</v>
      </c>
      <c r="X27" s="128">
        <v>13</v>
      </c>
      <c r="Y27" s="128" t="s">
        <v>59</v>
      </c>
      <c r="Z27" s="130">
        <f>SUM(Tabla39[[#This Row],[2002]:[2024]])</f>
        <v>290</v>
      </c>
    </row>
    <row r="28" spans="2:26" x14ac:dyDescent="0.25">
      <c r="B28" s="127" t="s">
        <v>14</v>
      </c>
      <c r="C28" s="131" t="s">
        <v>59</v>
      </c>
      <c r="D28" s="131">
        <v>21</v>
      </c>
      <c r="E28" s="131" t="s">
        <v>59</v>
      </c>
      <c r="F28" s="131">
        <v>23</v>
      </c>
      <c r="G28" s="131">
        <v>18</v>
      </c>
      <c r="H28" s="131">
        <v>2</v>
      </c>
      <c r="I28" s="131">
        <v>7</v>
      </c>
      <c r="J28" s="131">
        <v>38</v>
      </c>
      <c r="K28" s="131" t="s">
        <v>59</v>
      </c>
      <c r="L28" s="131">
        <v>1</v>
      </c>
      <c r="M28" s="131">
        <v>12</v>
      </c>
      <c r="N28" s="131">
        <v>6</v>
      </c>
      <c r="O28" s="131">
        <v>4</v>
      </c>
      <c r="P28" s="131" t="s">
        <v>59</v>
      </c>
      <c r="Q28" s="131" t="s">
        <v>59</v>
      </c>
      <c r="R28" s="131">
        <v>99</v>
      </c>
      <c r="S28" s="131" t="s">
        <v>59</v>
      </c>
      <c r="T28" s="131">
        <v>6</v>
      </c>
      <c r="U28" s="131" t="s">
        <v>59</v>
      </c>
      <c r="V28" s="131">
        <v>6</v>
      </c>
      <c r="W28" s="131" t="s">
        <v>59</v>
      </c>
      <c r="X28" s="131" t="s">
        <v>59</v>
      </c>
      <c r="Y28" s="131">
        <v>30</v>
      </c>
      <c r="Z28" s="130">
        <f>SUM(Tabla39[[#This Row],[2002]:[2024]])</f>
        <v>273</v>
      </c>
    </row>
    <row r="29" spans="2:26" ht="16.5" x14ac:dyDescent="0.25">
      <c r="B29" s="127" t="s">
        <v>21</v>
      </c>
      <c r="C29" s="128" t="s">
        <v>59</v>
      </c>
      <c r="D29" s="128" t="s">
        <v>59</v>
      </c>
      <c r="E29" s="128" t="s">
        <v>59</v>
      </c>
      <c r="F29" s="128" t="s">
        <v>59</v>
      </c>
      <c r="G29" s="128" t="s">
        <v>59</v>
      </c>
      <c r="H29" s="128">
        <v>20</v>
      </c>
      <c r="I29" s="128" t="s">
        <v>59</v>
      </c>
      <c r="J29" s="128">
        <v>10</v>
      </c>
      <c r="K29" s="128">
        <v>13</v>
      </c>
      <c r="L29" s="128" t="s">
        <v>59</v>
      </c>
      <c r="M29" s="128" t="s">
        <v>59</v>
      </c>
      <c r="N29" s="128" t="s">
        <v>59</v>
      </c>
      <c r="O29" s="128" t="s">
        <v>59</v>
      </c>
      <c r="P29" s="128" t="s">
        <v>59</v>
      </c>
      <c r="Q29" s="128" t="s">
        <v>59</v>
      </c>
      <c r="R29" s="128" t="s">
        <v>59</v>
      </c>
      <c r="S29" s="128" t="s">
        <v>59</v>
      </c>
      <c r="T29" s="128">
        <v>57</v>
      </c>
      <c r="U29" s="128">
        <v>27</v>
      </c>
      <c r="V29" s="128" t="s">
        <v>59</v>
      </c>
      <c r="W29" s="128" t="s">
        <v>59</v>
      </c>
      <c r="X29" s="128" t="s">
        <v>59</v>
      </c>
      <c r="Y29" s="128">
        <v>17</v>
      </c>
      <c r="Z29" s="130">
        <f>SUM(Tabla39[[#This Row],[2002]:[2024]])</f>
        <v>144</v>
      </c>
    </row>
    <row r="30" spans="2:26" ht="24.75" x14ac:dyDescent="0.25">
      <c r="B30" s="127" t="s">
        <v>30</v>
      </c>
      <c r="C30" s="132">
        <v>4</v>
      </c>
      <c r="D30" s="131" t="s">
        <v>59</v>
      </c>
      <c r="E30" s="131" t="s">
        <v>59</v>
      </c>
      <c r="F30" s="131">
        <v>2</v>
      </c>
      <c r="G30" s="131">
        <v>2</v>
      </c>
      <c r="H30" s="131">
        <v>5</v>
      </c>
      <c r="I30" s="131" t="s">
        <v>59</v>
      </c>
      <c r="J30" s="131">
        <v>7</v>
      </c>
      <c r="K30" s="131">
        <v>16</v>
      </c>
      <c r="L30" s="131" t="s">
        <v>59</v>
      </c>
      <c r="M30" s="131">
        <v>7</v>
      </c>
      <c r="N30" s="131">
        <v>25</v>
      </c>
      <c r="O30" s="131">
        <v>12</v>
      </c>
      <c r="P30" s="131">
        <v>12</v>
      </c>
      <c r="Q30" s="131">
        <v>7</v>
      </c>
      <c r="R30" s="131">
        <v>32</v>
      </c>
      <c r="S30" s="131">
        <v>9</v>
      </c>
      <c r="T30" s="131" t="s">
        <v>59</v>
      </c>
      <c r="U30" s="131" t="s">
        <v>59</v>
      </c>
      <c r="V30" s="133" t="s">
        <v>59</v>
      </c>
      <c r="W30" s="131">
        <v>3</v>
      </c>
      <c r="X30" s="131" t="s">
        <v>59</v>
      </c>
      <c r="Y30" s="131" t="s">
        <v>59</v>
      </c>
      <c r="Z30" s="130">
        <f>SUM(Tabla39[[#This Row],[2002]:[2024]])</f>
        <v>143</v>
      </c>
    </row>
    <row r="31" spans="2:26" ht="16.5" x14ac:dyDescent="0.25">
      <c r="B31" s="127" t="s">
        <v>31</v>
      </c>
      <c r="C31" s="134" t="s">
        <v>59</v>
      </c>
      <c r="D31" s="128" t="s">
        <v>59</v>
      </c>
      <c r="E31" s="128" t="s">
        <v>59</v>
      </c>
      <c r="F31" s="128">
        <v>3</v>
      </c>
      <c r="G31" s="128" t="s">
        <v>59</v>
      </c>
      <c r="H31" s="128">
        <v>10</v>
      </c>
      <c r="I31" s="128" t="s">
        <v>59</v>
      </c>
      <c r="J31" s="128">
        <v>41</v>
      </c>
      <c r="K31" s="128" t="s">
        <v>59</v>
      </c>
      <c r="L31" s="128" t="s">
        <v>59</v>
      </c>
      <c r="M31" s="128">
        <v>25</v>
      </c>
      <c r="N31" s="128">
        <v>2</v>
      </c>
      <c r="O31" s="128" t="s">
        <v>59</v>
      </c>
      <c r="P31" s="128" t="s">
        <v>59</v>
      </c>
      <c r="Q31" s="128" t="s">
        <v>59</v>
      </c>
      <c r="R31" s="128" t="s">
        <v>59</v>
      </c>
      <c r="S31" s="128">
        <v>59</v>
      </c>
      <c r="T31" s="128" t="s">
        <v>59</v>
      </c>
      <c r="U31" s="128" t="s">
        <v>59</v>
      </c>
      <c r="V31" s="135" t="s">
        <v>59</v>
      </c>
      <c r="W31" s="128" t="s">
        <v>59</v>
      </c>
      <c r="X31" s="128" t="s">
        <v>59</v>
      </c>
      <c r="Y31" s="128" t="s">
        <v>59</v>
      </c>
      <c r="Z31" s="130">
        <f>SUM(Tabla39[[#This Row],[2002]:[2024]])</f>
        <v>140</v>
      </c>
    </row>
    <row r="32" spans="2:26" x14ac:dyDescent="0.25">
      <c r="B32" s="127" t="s">
        <v>26</v>
      </c>
      <c r="C32" s="132" t="s">
        <v>59</v>
      </c>
      <c r="D32" s="131">
        <v>5</v>
      </c>
      <c r="E32" s="131" t="s">
        <v>59</v>
      </c>
      <c r="F32" s="131" t="s">
        <v>59</v>
      </c>
      <c r="G32" s="131">
        <v>9</v>
      </c>
      <c r="H32" s="131" t="s">
        <v>59</v>
      </c>
      <c r="I32" s="131">
        <v>13</v>
      </c>
      <c r="J32" s="131">
        <v>3</v>
      </c>
      <c r="K32" s="131" t="s">
        <v>59</v>
      </c>
      <c r="L32" s="131" t="s">
        <v>59</v>
      </c>
      <c r="M32" s="131">
        <v>7</v>
      </c>
      <c r="N32" s="131" t="s">
        <v>59</v>
      </c>
      <c r="O32" s="131" t="s">
        <v>59</v>
      </c>
      <c r="P32" s="131" t="s">
        <v>59</v>
      </c>
      <c r="Q32" s="131" t="s">
        <v>59</v>
      </c>
      <c r="R32" s="131">
        <v>6</v>
      </c>
      <c r="S32" s="131">
        <v>44</v>
      </c>
      <c r="T32" s="131" t="s">
        <v>59</v>
      </c>
      <c r="U32" s="131" t="s">
        <v>59</v>
      </c>
      <c r="V32" s="133" t="s">
        <v>59</v>
      </c>
      <c r="W32" s="131" t="s">
        <v>59</v>
      </c>
      <c r="X32" s="131">
        <v>1</v>
      </c>
      <c r="Y32" s="131" t="s">
        <v>59</v>
      </c>
      <c r="Z32" s="130">
        <f>SUM(Tabla39[[#This Row],[2002]:[2024]])</f>
        <v>88</v>
      </c>
    </row>
    <row r="33" spans="2:26" ht="16.5" x14ac:dyDescent="0.25">
      <c r="B33" s="127" t="s">
        <v>32</v>
      </c>
      <c r="C33" s="134" t="s">
        <v>59</v>
      </c>
      <c r="D33" s="128">
        <v>3</v>
      </c>
      <c r="E33" s="128" t="s">
        <v>59</v>
      </c>
      <c r="F33" s="128">
        <v>2</v>
      </c>
      <c r="G33" s="128" t="s">
        <v>59</v>
      </c>
      <c r="H33" s="128" t="s">
        <v>59</v>
      </c>
      <c r="I33" s="128" t="s">
        <v>59</v>
      </c>
      <c r="J33" s="128" t="s">
        <v>59</v>
      </c>
      <c r="K33" s="128" t="s">
        <v>59</v>
      </c>
      <c r="L33" s="128" t="s">
        <v>59</v>
      </c>
      <c r="M33" s="128" t="s">
        <v>59</v>
      </c>
      <c r="N33" s="128" t="s">
        <v>59</v>
      </c>
      <c r="O33" s="128" t="s">
        <v>59</v>
      </c>
      <c r="P33" s="128" t="s">
        <v>59</v>
      </c>
      <c r="Q33" s="128" t="s">
        <v>59</v>
      </c>
      <c r="R33" s="128">
        <v>13</v>
      </c>
      <c r="S33" s="128">
        <v>13</v>
      </c>
      <c r="T33" s="128" t="s">
        <v>59</v>
      </c>
      <c r="U33" s="128" t="s">
        <v>59</v>
      </c>
      <c r="V33" s="135" t="s">
        <v>59</v>
      </c>
      <c r="W33" s="128" t="s">
        <v>59</v>
      </c>
      <c r="X33" s="128" t="s">
        <v>59</v>
      </c>
      <c r="Y33" s="128" t="s">
        <v>59</v>
      </c>
      <c r="Z33" s="130">
        <f>SUM(Tabla39[[#This Row],[2002]:[2024]])</f>
        <v>31</v>
      </c>
    </row>
    <row r="34" spans="2:26" x14ac:dyDescent="0.25">
      <c r="B34" s="127" t="s">
        <v>34</v>
      </c>
      <c r="C34" s="136">
        <f>SUBTOTAL(109,C5:C33)</f>
        <v>278</v>
      </c>
      <c r="D34" s="136">
        <f>SUBTOTAL(109,D5:D33)</f>
        <v>338</v>
      </c>
      <c r="E34" s="136">
        <f>SUBTOTAL(109,E5:E33)</f>
        <v>510</v>
      </c>
      <c r="F34" s="136">
        <f>SUBTOTAL(109,F5:F33)</f>
        <v>459</v>
      </c>
      <c r="G34" s="136">
        <f>SUBTOTAL(109,G5:G33)</f>
        <v>606</v>
      </c>
      <c r="H34" s="136">
        <f>SUBTOTAL(109,H5:H33)</f>
        <v>1444</v>
      </c>
      <c r="I34" s="136">
        <f>SUBTOTAL(109,I5:I33)</f>
        <v>1191</v>
      </c>
      <c r="J34" s="136">
        <f>SUBTOTAL(109,J5:J33)</f>
        <v>1341</v>
      </c>
      <c r="K34" s="136">
        <f>SUBTOTAL(109,K5:K33)</f>
        <v>1201</v>
      </c>
      <c r="L34" s="136">
        <f>SUBTOTAL(109,L5:L33)</f>
        <v>1057</v>
      </c>
      <c r="M34" s="136">
        <f>SUBTOTAL(109,M5:M33)</f>
        <v>1349</v>
      </c>
      <c r="N34" s="136">
        <f>SUBTOTAL(109,N5:N33)</f>
        <v>1603</v>
      </c>
      <c r="O34" s="136">
        <f>SUBTOTAL(109,O5:O33)</f>
        <v>1132</v>
      </c>
      <c r="P34" s="136">
        <f>SUBTOTAL(109,P5:P33)</f>
        <v>1207</v>
      </c>
      <c r="Q34" s="136">
        <f>SUBTOTAL(109,Q5:Q33)</f>
        <v>1175</v>
      </c>
      <c r="R34" s="136">
        <f>SUBTOTAL(109,R5:R33)</f>
        <v>2031</v>
      </c>
      <c r="S34" s="136">
        <f>SUBTOTAL(109,S5:S33)</f>
        <v>2788</v>
      </c>
      <c r="T34" s="136">
        <f>SUBTOTAL(109,T5:T33)</f>
        <v>2026</v>
      </c>
      <c r="U34" s="136">
        <f>SUBTOTAL(109,U5:U33)</f>
        <v>846</v>
      </c>
      <c r="V34" s="136">
        <f>SUBTOTAL(109,V5:V33)</f>
        <v>516</v>
      </c>
      <c r="W34" s="136">
        <f>SUBTOTAL(109,W5:W33)</f>
        <v>556</v>
      </c>
      <c r="X34" s="136">
        <f>SUBTOTAL(109,X5:X33)</f>
        <v>319</v>
      </c>
      <c r="Y34" s="136">
        <f>SUBTOTAL(109,Y5:Y33)</f>
        <v>287</v>
      </c>
      <c r="Z34" s="130">
        <f>SUM(Tabla39[[#This Row],[2002]:[2024]])</f>
        <v>24260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B203-3E04-40C4-821F-E92C25D56637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D7ADF-521F-44B7-B59A-2CE35F3C3165}">
  <dimension ref="C3:G10"/>
  <sheetViews>
    <sheetView workbookViewId="0">
      <selection activeCell="C3" sqref="C3:G10"/>
    </sheetView>
  </sheetViews>
  <sheetFormatPr baseColWidth="10" defaultRowHeight="15" x14ac:dyDescent="0.25"/>
  <sheetData>
    <row r="3" spans="3:7" ht="60" x14ac:dyDescent="0.25">
      <c r="C3" s="31" t="s">
        <v>60</v>
      </c>
      <c r="D3" s="32" t="s">
        <v>78</v>
      </c>
      <c r="E3" s="32" t="s">
        <v>79</v>
      </c>
      <c r="F3" s="32" t="s">
        <v>80</v>
      </c>
      <c r="G3" s="33" t="s">
        <v>34</v>
      </c>
    </row>
    <row r="4" spans="3:7" x14ac:dyDescent="0.25">
      <c r="C4" s="137">
        <v>2002</v>
      </c>
      <c r="D4" s="138">
        <v>0</v>
      </c>
      <c r="E4" s="138">
        <v>0</v>
      </c>
      <c r="F4" s="36">
        <v>464</v>
      </c>
      <c r="G4" s="139">
        <v>464</v>
      </c>
    </row>
    <row r="5" spans="3:7" x14ac:dyDescent="0.25">
      <c r="C5" s="137">
        <v>2003</v>
      </c>
      <c r="D5" s="138">
        <v>0</v>
      </c>
      <c r="E5" s="138">
        <v>0</v>
      </c>
      <c r="F5" s="36">
        <v>382</v>
      </c>
      <c r="G5" s="139">
        <v>382</v>
      </c>
    </row>
    <row r="6" spans="3:7" x14ac:dyDescent="0.25">
      <c r="C6" s="137">
        <v>2004</v>
      </c>
      <c r="D6" s="138">
        <v>0</v>
      </c>
      <c r="E6" s="138">
        <v>0</v>
      </c>
      <c r="F6" s="36">
        <v>40</v>
      </c>
      <c r="G6" s="139">
        <v>40</v>
      </c>
    </row>
    <row r="7" spans="3:7" x14ac:dyDescent="0.25">
      <c r="C7" s="137">
        <v>2005</v>
      </c>
      <c r="D7" s="138">
        <v>0</v>
      </c>
      <c r="E7" s="138">
        <v>0</v>
      </c>
      <c r="F7" s="36">
        <v>50</v>
      </c>
      <c r="G7" s="139">
        <v>50</v>
      </c>
    </row>
    <row r="8" spans="3:7" x14ac:dyDescent="0.25">
      <c r="C8" s="137">
        <v>2006</v>
      </c>
      <c r="D8" s="138">
        <v>0</v>
      </c>
      <c r="E8" s="138">
        <v>0</v>
      </c>
      <c r="F8" s="36">
        <v>217</v>
      </c>
      <c r="G8" s="139">
        <v>217</v>
      </c>
    </row>
    <row r="9" spans="3:7" x14ac:dyDescent="0.25">
      <c r="C9" s="137">
        <v>2007</v>
      </c>
      <c r="D9" s="138">
        <v>0</v>
      </c>
      <c r="E9" s="138">
        <v>0</v>
      </c>
      <c r="F9" s="36">
        <v>6</v>
      </c>
      <c r="G9" s="139">
        <v>6</v>
      </c>
    </row>
    <row r="10" spans="3:7" x14ac:dyDescent="0.25">
      <c r="C10" s="140" t="s">
        <v>34</v>
      </c>
      <c r="D10" s="141">
        <v>0</v>
      </c>
      <c r="E10" s="141">
        <v>0</v>
      </c>
      <c r="F10" s="49">
        <v>1159</v>
      </c>
      <c r="G10" s="142">
        <v>1159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D6ED-EA90-48EB-A201-A7B38B5398F1}">
  <dimension ref="B3:I37"/>
  <sheetViews>
    <sheetView workbookViewId="0">
      <selection activeCell="B3" sqref="B3:I37"/>
    </sheetView>
  </sheetViews>
  <sheetFormatPr baseColWidth="10" defaultRowHeight="15" x14ac:dyDescent="0.25"/>
  <sheetData>
    <row r="3" spans="2:9" x14ac:dyDescent="0.25">
      <c r="B3" s="143" t="s">
        <v>0</v>
      </c>
      <c r="C3" s="144" t="s">
        <v>35</v>
      </c>
      <c r="D3" s="144"/>
      <c r="E3" s="144"/>
      <c r="F3" s="144"/>
      <c r="G3" s="144"/>
      <c r="H3" s="144"/>
      <c r="I3" s="145" t="s">
        <v>34</v>
      </c>
    </row>
    <row r="4" spans="2:9" x14ac:dyDescent="0.25">
      <c r="B4" s="143"/>
      <c r="C4" s="146" t="s">
        <v>36</v>
      </c>
      <c r="D4" s="146" t="s">
        <v>37</v>
      </c>
      <c r="E4" s="146" t="s">
        <v>38</v>
      </c>
      <c r="F4" s="146" t="s">
        <v>39</v>
      </c>
      <c r="G4" s="146" t="s">
        <v>40</v>
      </c>
      <c r="H4" s="146" t="s">
        <v>41</v>
      </c>
      <c r="I4" s="145"/>
    </row>
    <row r="5" spans="2:9" ht="45" x14ac:dyDescent="0.25">
      <c r="B5" s="147" t="s">
        <v>5</v>
      </c>
      <c r="C5" s="148">
        <v>45</v>
      </c>
      <c r="D5" s="148">
        <v>70</v>
      </c>
      <c r="E5" s="148">
        <v>3</v>
      </c>
      <c r="F5" s="148">
        <v>14</v>
      </c>
      <c r="G5" s="148">
        <v>20</v>
      </c>
      <c r="H5" s="148">
        <v>1</v>
      </c>
      <c r="I5" s="149">
        <f>SUM(Tabla22[[#This Row],[2002]:[2007]])</f>
        <v>153</v>
      </c>
    </row>
    <row r="6" spans="2:9" ht="75" x14ac:dyDescent="0.25">
      <c r="B6" s="147" t="s">
        <v>4</v>
      </c>
      <c r="C6" s="148">
        <v>37</v>
      </c>
      <c r="D6" s="148">
        <v>78</v>
      </c>
      <c r="E6" s="148" t="s">
        <v>59</v>
      </c>
      <c r="F6" s="148">
        <v>10</v>
      </c>
      <c r="G6" s="148">
        <v>5</v>
      </c>
      <c r="H6" s="148" t="s">
        <v>59</v>
      </c>
      <c r="I6" s="149">
        <f>SUM(Tabla22[[#This Row],[2002]:[2007]])</f>
        <v>130</v>
      </c>
    </row>
    <row r="7" spans="2:9" ht="60" x14ac:dyDescent="0.25">
      <c r="B7" s="147" t="s">
        <v>6</v>
      </c>
      <c r="C7" s="148">
        <v>29</v>
      </c>
      <c r="D7" s="148">
        <v>35</v>
      </c>
      <c r="E7" s="148">
        <v>2</v>
      </c>
      <c r="F7" s="148">
        <v>2</v>
      </c>
      <c r="G7" s="148">
        <v>52</v>
      </c>
      <c r="H7" s="148">
        <v>2</v>
      </c>
      <c r="I7" s="149">
        <f>SUM(Tabla22[[#This Row],[2002]:[2007]])</f>
        <v>122</v>
      </c>
    </row>
    <row r="8" spans="2:9" ht="90" x14ac:dyDescent="0.25">
      <c r="B8" s="147" t="s">
        <v>8</v>
      </c>
      <c r="C8" s="148">
        <v>57</v>
      </c>
      <c r="D8" s="148">
        <v>19</v>
      </c>
      <c r="E8" s="148">
        <v>5</v>
      </c>
      <c r="F8" s="148">
        <v>3</v>
      </c>
      <c r="G8" s="148">
        <v>27</v>
      </c>
      <c r="H8" s="148" t="s">
        <v>59</v>
      </c>
      <c r="I8" s="149">
        <f>SUM(Tabla22[[#This Row],[2002]:[2007]])</f>
        <v>111</v>
      </c>
    </row>
    <row r="9" spans="2:9" ht="30" x14ac:dyDescent="0.25">
      <c r="B9" s="147" t="s">
        <v>10</v>
      </c>
      <c r="C9" s="148">
        <v>36</v>
      </c>
      <c r="D9" s="148">
        <v>17</v>
      </c>
      <c r="E9" s="148">
        <v>9</v>
      </c>
      <c r="F9" s="148">
        <v>2</v>
      </c>
      <c r="G9" s="148">
        <v>4</v>
      </c>
      <c r="H9" s="148" t="s">
        <v>59</v>
      </c>
      <c r="I9" s="149">
        <f>SUM(Tabla22[[#This Row],[2002]:[2007]])</f>
        <v>68</v>
      </c>
    </row>
    <row r="10" spans="2:9" x14ac:dyDescent="0.25">
      <c r="B10" s="147" t="s">
        <v>11</v>
      </c>
      <c r="C10" s="148">
        <v>19</v>
      </c>
      <c r="D10" s="148">
        <v>15</v>
      </c>
      <c r="E10" s="148">
        <v>2</v>
      </c>
      <c r="F10" s="148">
        <v>5</v>
      </c>
      <c r="G10" s="148">
        <v>14</v>
      </c>
      <c r="H10" s="148">
        <v>1</v>
      </c>
      <c r="I10" s="149">
        <f>SUM(Tabla22[[#This Row],[2002]:[2007]])</f>
        <v>56</v>
      </c>
    </row>
    <row r="11" spans="2:9" x14ac:dyDescent="0.25">
      <c r="B11" s="147" t="s">
        <v>16</v>
      </c>
      <c r="C11" s="148">
        <v>28</v>
      </c>
      <c r="D11" s="148">
        <v>11</v>
      </c>
      <c r="E11" s="148" t="s">
        <v>59</v>
      </c>
      <c r="F11" s="148" t="s">
        <v>59</v>
      </c>
      <c r="G11" s="148">
        <v>15</v>
      </c>
      <c r="H11" s="148">
        <v>1</v>
      </c>
      <c r="I11" s="149">
        <f>SUM(Tabla22[[#This Row],[2002]:[2007]])</f>
        <v>55</v>
      </c>
    </row>
    <row r="12" spans="2:9" ht="60" x14ac:dyDescent="0.25">
      <c r="B12" s="147" t="s">
        <v>81</v>
      </c>
      <c r="C12" s="148">
        <v>29</v>
      </c>
      <c r="D12" s="148">
        <v>14</v>
      </c>
      <c r="E12" s="148">
        <v>2</v>
      </c>
      <c r="F12" s="148">
        <v>1</v>
      </c>
      <c r="G12" s="148">
        <v>8</v>
      </c>
      <c r="H12" s="148">
        <v>1</v>
      </c>
      <c r="I12" s="149">
        <f>SUM(Tabla22[[#This Row],[2002]:[2007]])</f>
        <v>55</v>
      </c>
    </row>
    <row r="13" spans="2:9" x14ac:dyDescent="0.25">
      <c r="B13" s="147" t="s">
        <v>15</v>
      </c>
      <c r="C13" s="148">
        <v>31</v>
      </c>
      <c r="D13" s="148">
        <v>13</v>
      </c>
      <c r="E13" s="148" t="s">
        <v>59</v>
      </c>
      <c r="F13" s="148">
        <v>4</v>
      </c>
      <c r="G13" s="148">
        <v>2</v>
      </c>
      <c r="H13" s="148" t="s">
        <v>59</v>
      </c>
      <c r="I13" s="149">
        <f>SUM(Tabla22[[#This Row],[2002]:[2007]])</f>
        <v>50</v>
      </c>
    </row>
    <row r="14" spans="2:9" ht="90" x14ac:dyDescent="0.25">
      <c r="B14" s="147" t="s">
        <v>12</v>
      </c>
      <c r="C14" s="148">
        <v>14</v>
      </c>
      <c r="D14" s="148">
        <v>20</v>
      </c>
      <c r="E14" s="148">
        <v>4</v>
      </c>
      <c r="F14" s="148">
        <v>2</v>
      </c>
      <c r="G14" s="148">
        <v>1</v>
      </c>
      <c r="H14" s="148" t="s">
        <v>59</v>
      </c>
      <c r="I14" s="149">
        <f>SUM(Tabla22[[#This Row],[2002]:[2007]])</f>
        <v>41</v>
      </c>
    </row>
    <row r="15" spans="2:9" ht="60" x14ac:dyDescent="0.25">
      <c r="B15" s="147" t="s">
        <v>13</v>
      </c>
      <c r="C15" s="148">
        <v>27</v>
      </c>
      <c r="D15" s="148">
        <v>7</v>
      </c>
      <c r="E15" s="148" t="s">
        <v>59</v>
      </c>
      <c r="F15" s="148">
        <v>3</v>
      </c>
      <c r="G15" s="148">
        <v>3</v>
      </c>
      <c r="H15" s="148" t="s">
        <v>59</v>
      </c>
      <c r="I15" s="149">
        <f>SUM(Tabla22[[#This Row],[2002]:[2007]])</f>
        <v>40</v>
      </c>
    </row>
    <row r="16" spans="2:9" ht="105" x14ac:dyDescent="0.25">
      <c r="B16" s="147" t="s">
        <v>7</v>
      </c>
      <c r="C16" s="148">
        <v>13</v>
      </c>
      <c r="D16" s="148">
        <v>15</v>
      </c>
      <c r="E16" s="148">
        <v>3</v>
      </c>
      <c r="F16" s="148" t="s">
        <v>59</v>
      </c>
      <c r="G16" s="148">
        <v>6</v>
      </c>
      <c r="H16" s="148" t="s">
        <v>59</v>
      </c>
      <c r="I16" s="149">
        <f>SUM(Tabla22[[#This Row],[2002]:[2007]])</f>
        <v>37</v>
      </c>
    </row>
    <row r="17" spans="2:9" ht="90" x14ac:dyDescent="0.25">
      <c r="B17" s="147" t="s">
        <v>19</v>
      </c>
      <c r="C17" s="148">
        <v>14</v>
      </c>
      <c r="D17" s="148">
        <v>17</v>
      </c>
      <c r="E17" s="148">
        <v>1</v>
      </c>
      <c r="F17" s="148" t="s">
        <v>59</v>
      </c>
      <c r="G17" s="148">
        <v>1</v>
      </c>
      <c r="H17" s="148" t="s">
        <v>59</v>
      </c>
      <c r="I17" s="149">
        <f>SUM(Tabla22[[#This Row],[2002]:[2007]])</f>
        <v>33</v>
      </c>
    </row>
    <row r="18" spans="2:9" ht="30" x14ac:dyDescent="0.25">
      <c r="B18" s="147" t="s">
        <v>82</v>
      </c>
      <c r="C18" s="148">
        <v>4</v>
      </c>
      <c r="D18" s="148">
        <v>2</v>
      </c>
      <c r="E18" s="148">
        <v>1</v>
      </c>
      <c r="F18" s="148" t="s">
        <v>59</v>
      </c>
      <c r="G18" s="148">
        <v>18</v>
      </c>
      <c r="H18" s="148" t="s">
        <v>59</v>
      </c>
      <c r="I18" s="149">
        <f>SUM(Tabla22[[#This Row],[2002]:[2007]])</f>
        <v>25</v>
      </c>
    </row>
    <row r="19" spans="2:9" ht="30" x14ac:dyDescent="0.25">
      <c r="B19" s="147" t="s">
        <v>26</v>
      </c>
      <c r="C19" s="148" t="s">
        <v>59</v>
      </c>
      <c r="D19" s="148">
        <v>22</v>
      </c>
      <c r="E19" s="148" t="s">
        <v>59</v>
      </c>
      <c r="F19" s="148" t="s">
        <v>59</v>
      </c>
      <c r="G19" s="148">
        <v>2</v>
      </c>
      <c r="H19" s="148" t="s">
        <v>59</v>
      </c>
      <c r="I19" s="149">
        <f>SUM(Tabla22[[#This Row],[2002]:[2007]])</f>
        <v>24</v>
      </c>
    </row>
    <row r="20" spans="2:9" x14ac:dyDescent="0.25">
      <c r="B20" s="147" t="s">
        <v>18</v>
      </c>
      <c r="C20" s="148">
        <v>10</v>
      </c>
      <c r="D20" s="148">
        <v>1</v>
      </c>
      <c r="E20" s="148" t="s">
        <v>59</v>
      </c>
      <c r="F20" s="148">
        <v>2</v>
      </c>
      <c r="G20" s="148">
        <v>10</v>
      </c>
      <c r="H20" s="148" t="s">
        <v>59</v>
      </c>
      <c r="I20" s="149">
        <f>SUM(Tabla22[[#This Row],[2002]:[2007]])</f>
        <v>23</v>
      </c>
    </row>
    <row r="21" spans="2:9" ht="45" x14ac:dyDescent="0.25">
      <c r="B21" s="147" t="s">
        <v>31</v>
      </c>
      <c r="C21" s="148">
        <v>13</v>
      </c>
      <c r="D21" s="148">
        <v>6</v>
      </c>
      <c r="E21" s="148" t="s">
        <v>59</v>
      </c>
      <c r="F21" s="148" t="s">
        <v>59</v>
      </c>
      <c r="G21" s="148">
        <v>2</v>
      </c>
      <c r="H21" s="148" t="s">
        <v>59</v>
      </c>
      <c r="I21" s="149">
        <f>SUM(Tabla22[[#This Row],[2002]:[2007]])</f>
        <v>21</v>
      </c>
    </row>
    <row r="22" spans="2:9" x14ac:dyDescent="0.25">
      <c r="B22" s="147" t="s">
        <v>20</v>
      </c>
      <c r="C22" s="148">
        <v>8</v>
      </c>
      <c r="D22" s="148">
        <v>2</v>
      </c>
      <c r="E22" s="148">
        <v>3</v>
      </c>
      <c r="F22" s="148" t="s">
        <v>59</v>
      </c>
      <c r="G22" s="148">
        <v>3</v>
      </c>
      <c r="H22" s="148" t="s">
        <v>59</v>
      </c>
      <c r="I22" s="149">
        <f>SUM(Tabla22[[#This Row],[2002]:[2007]])</f>
        <v>16</v>
      </c>
    </row>
    <row r="23" spans="2:9" ht="60" x14ac:dyDescent="0.25">
      <c r="B23" s="147" t="s">
        <v>83</v>
      </c>
      <c r="C23" s="148">
        <v>15</v>
      </c>
      <c r="D23" s="148" t="s">
        <v>59</v>
      </c>
      <c r="E23" s="148" t="s">
        <v>59</v>
      </c>
      <c r="F23" s="148" t="s">
        <v>59</v>
      </c>
      <c r="G23" s="148" t="s">
        <v>59</v>
      </c>
      <c r="H23" s="148" t="s">
        <v>59</v>
      </c>
      <c r="I23" s="149">
        <f>SUM(Tabla22[[#This Row],[2002]:[2007]])</f>
        <v>15</v>
      </c>
    </row>
    <row r="24" spans="2:9" ht="60" x14ac:dyDescent="0.25">
      <c r="B24" s="147" t="s">
        <v>33</v>
      </c>
      <c r="C24" s="148">
        <v>12</v>
      </c>
      <c r="D24" s="148" t="s">
        <v>59</v>
      </c>
      <c r="E24" s="148" t="s">
        <v>59</v>
      </c>
      <c r="F24" s="148" t="s">
        <v>59</v>
      </c>
      <c r="G24" s="148" t="s">
        <v>59</v>
      </c>
      <c r="H24" s="148" t="s">
        <v>59</v>
      </c>
      <c r="I24" s="149">
        <f>SUM(Tabla22[[#This Row],[2002]:[2007]])</f>
        <v>12</v>
      </c>
    </row>
    <row r="25" spans="2:9" ht="60" x14ac:dyDescent="0.25">
      <c r="B25" s="147" t="s">
        <v>30</v>
      </c>
      <c r="C25" s="148">
        <v>7</v>
      </c>
      <c r="D25" s="148">
        <v>3</v>
      </c>
      <c r="E25" s="148" t="s">
        <v>59</v>
      </c>
      <c r="F25" s="148" t="s">
        <v>59</v>
      </c>
      <c r="G25" s="148">
        <v>1</v>
      </c>
      <c r="H25" s="148" t="s">
        <v>59</v>
      </c>
      <c r="I25" s="149">
        <f>SUM(Tabla22[[#This Row],[2002]:[2007]])</f>
        <v>11</v>
      </c>
    </row>
    <row r="26" spans="2:9" ht="90" x14ac:dyDescent="0.25">
      <c r="B26" s="147" t="s">
        <v>84</v>
      </c>
      <c r="C26" s="148">
        <v>2</v>
      </c>
      <c r="D26" s="148" t="s">
        <v>59</v>
      </c>
      <c r="E26" s="148" t="s">
        <v>59</v>
      </c>
      <c r="F26" s="148" t="s">
        <v>59</v>
      </c>
      <c r="G26" s="148">
        <v>8</v>
      </c>
      <c r="H26" s="148" t="s">
        <v>59</v>
      </c>
      <c r="I26" s="149">
        <f>SUM(Tabla22[[#This Row],[2002]:[2007]])</f>
        <v>10</v>
      </c>
    </row>
    <row r="27" spans="2:9" x14ac:dyDescent="0.25">
      <c r="B27" s="147" t="s">
        <v>24</v>
      </c>
      <c r="C27" s="148">
        <v>1</v>
      </c>
      <c r="D27" s="148">
        <v>5</v>
      </c>
      <c r="E27" s="148">
        <v>3</v>
      </c>
      <c r="F27" s="148" t="s">
        <v>59</v>
      </c>
      <c r="G27" s="148" t="s">
        <v>59</v>
      </c>
      <c r="H27" s="148" t="s">
        <v>59</v>
      </c>
      <c r="I27" s="149">
        <f>SUM(Tabla22[[#This Row],[2002]:[2007]])</f>
        <v>9</v>
      </c>
    </row>
    <row r="28" spans="2:9" ht="45" x14ac:dyDescent="0.25">
      <c r="B28" s="147" t="s">
        <v>17</v>
      </c>
      <c r="C28" s="148">
        <v>3</v>
      </c>
      <c r="D28" s="148">
        <v>3</v>
      </c>
      <c r="E28" s="148">
        <v>1</v>
      </c>
      <c r="F28" s="148" t="s">
        <v>59</v>
      </c>
      <c r="G28" s="148">
        <v>1</v>
      </c>
      <c r="H28" s="148" t="s">
        <v>59</v>
      </c>
      <c r="I28" s="149">
        <f>SUM(Tabla22[[#This Row],[2002]:[2007]])</f>
        <v>8</v>
      </c>
    </row>
    <row r="29" spans="2:9" ht="90" x14ac:dyDescent="0.25">
      <c r="B29" s="147" t="s">
        <v>23</v>
      </c>
      <c r="C29" s="148" t="s">
        <v>59</v>
      </c>
      <c r="D29" s="148" t="s">
        <v>59</v>
      </c>
      <c r="E29" s="148" t="s">
        <v>59</v>
      </c>
      <c r="F29" s="148">
        <v>1</v>
      </c>
      <c r="G29" s="148">
        <v>7</v>
      </c>
      <c r="H29" s="148" t="s">
        <v>59</v>
      </c>
      <c r="I29" s="149">
        <f>SUM(Tabla22[[#This Row],[2002]:[2007]])</f>
        <v>8</v>
      </c>
    </row>
    <row r="30" spans="2:9" ht="30" x14ac:dyDescent="0.25">
      <c r="B30" s="147" t="s">
        <v>22</v>
      </c>
      <c r="C30" s="148">
        <v>3</v>
      </c>
      <c r="D30" s="148" t="s">
        <v>59</v>
      </c>
      <c r="E30" s="148" t="s">
        <v>59</v>
      </c>
      <c r="F30" s="148">
        <v>1</v>
      </c>
      <c r="G30" s="148">
        <v>1</v>
      </c>
      <c r="H30" s="148" t="s">
        <v>59</v>
      </c>
      <c r="I30" s="149">
        <f>SUM(Tabla22[[#This Row],[2002]:[2007]])</f>
        <v>5</v>
      </c>
    </row>
    <row r="31" spans="2:9" ht="45" x14ac:dyDescent="0.25">
      <c r="B31" s="147" t="s">
        <v>27</v>
      </c>
      <c r="C31" s="150">
        <v>2</v>
      </c>
      <c r="D31" s="148" t="s">
        <v>59</v>
      </c>
      <c r="E31" s="148" t="s">
        <v>59</v>
      </c>
      <c r="F31" s="148" t="s">
        <v>59</v>
      </c>
      <c r="G31" s="148">
        <v>3</v>
      </c>
      <c r="H31" s="151" t="s">
        <v>59</v>
      </c>
      <c r="I31" s="149">
        <f>SUM(Tabla22[[#This Row],[2002]:[2007]])</f>
        <v>5</v>
      </c>
    </row>
    <row r="32" spans="2:9" x14ac:dyDescent="0.25">
      <c r="B32" s="147" t="s">
        <v>14</v>
      </c>
      <c r="C32" s="150" t="s">
        <v>59</v>
      </c>
      <c r="D32" s="148">
        <v>3</v>
      </c>
      <c r="E32" s="148" t="s">
        <v>59</v>
      </c>
      <c r="F32" s="148" t="s">
        <v>59</v>
      </c>
      <c r="G32" s="148">
        <v>1</v>
      </c>
      <c r="H32" s="151" t="s">
        <v>59</v>
      </c>
      <c r="I32" s="149">
        <f>SUM(Tabla22[[#This Row],[2002]:[2007]])</f>
        <v>4</v>
      </c>
    </row>
    <row r="33" spans="2:9" ht="45" x14ac:dyDescent="0.25">
      <c r="B33" s="147" t="s">
        <v>32</v>
      </c>
      <c r="C33" s="150" t="s">
        <v>59</v>
      </c>
      <c r="D33" s="148">
        <v>3</v>
      </c>
      <c r="E33" s="148" t="s">
        <v>59</v>
      </c>
      <c r="F33" s="148" t="s">
        <v>59</v>
      </c>
      <c r="G33" s="148" t="s">
        <v>59</v>
      </c>
      <c r="H33" s="151" t="s">
        <v>59</v>
      </c>
      <c r="I33" s="149">
        <f>SUM(Tabla22[[#This Row],[2002]:[2007]])</f>
        <v>3</v>
      </c>
    </row>
    <row r="34" spans="2:9" ht="60" x14ac:dyDescent="0.25">
      <c r="B34" s="147" t="s">
        <v>29</v>
      </c>
      <c r="C34" s="148">
        <v>2</v>
      </c>
      <c r="D34" s="148" t="s">
        <v>59</v>
      </c>
      <c r="E34" s="148" t="s">
        <v>59</v>
      </c>
      <c r="F34" s="148" t="s">
        <v>59</v>
      </c>
      <c r="G34" s="148">
        <v>1</v>
      </c>
      <c r="H34" s="148" t="s">
        <v>59</v>
      </c>
      <c r="I34" s="149">
        <f>SUM(Tabla22[[#This Row],[2002]:[2007]])</f>
        <v>3</v>
      </c>
    </row>
    <row r="35" spans="2:9" ht="30" x14ac:dyDescent="0.25">
      <c r="B35" s="147" t="s">
        <v>21</v>
      </c>
      <c r="C35" s="148">
        <v>1</v>
      </c>
      <c r="D35" s="148">
        <v>1</v>
      </c>
      <c r="E35" s="148" t="s">
        <v>59</v>
      </c>
      <c r="F35" s="148" t="s">
        <v>59</v>
      </c>
      <c r="G35" s="148">
        <v>1</v>
      </c>
      <c r="H35" s="148" t="s">
        <v>59</v>
      </c>
      <c r="I35" s="149">
        <f>SUM(Tabla22[[#This Row],[2002]:[2007]])</f>
        <v>3</v>
      </c>
    </row>
    <row r="36" spans="2:9" ht="90" x14ac:dyDescent="0.25">
      <c r="B36" s="147" t="s">
        <v>85</v>
      </c>
      <c r="C36" s="148">
        <v>2</v>
      </c>
      <c r="D36" s="148" t="s">
        <v>59</v>
      </c>
      <c r="E36" s="148">
        <v>1</v>
      </c>
      <c r="F36" s="148" t="s">
        <v>59</v>
      </c>
      <c r="G36" s="148" t="s">
        <v>59</v>
      </c>
      <c r="H36" s="148" t="s">
        <v>59</v>
      </c>
      <c r="I36" s="149">
        <f>SUM(Tabla22[[#This Row],[2002]:[2007]])</f>
        <v>3</v>
      </c>
    </row>
    <row r="37" spans="2:9" x14ac:dyDescent="0.25">
      <c r="B37" s="147" t="s">
        <v>34</v>
      </c>
      <c r="C37" s="152">
        <v>464</v>
      </c>
      <c r="D37" s="152">
        <v>382</v>
      </c>
      <c r="E37" s="152">
        <v>40</v>
      </c>
      <c r="F37" s="152">
        <v>50</v>
      </c>
      <c r="G37" s="152">
        <v>217</v>
      </c>
      <c r="H37" s="152">
        <v>6</v>
      </c>
      <c r="I37" s="149">
        <v>1159</v>
      </c>
    </row>
  </sheetData>
  <mergeCells count="3">
    <mergeCell ref="B3:B4"/>
    <mergeCell ref="C3:H3"/>
    <mergeCell ref="I3:I4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B541-DE90-4BF7-8796-2E93331B5BEA}">
  <dimension ref="A1"/>
  <sheetViews>
    <sheetView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EEB4-B443-4177-A3B4-991C8BCF949C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168E-7EC3-4D01-89EA-2E8A8F68ADF8}">
  <dimension ref="C2:G26"/>
  <sheetViews>
    <sheetView workbookViewId="0">
      <selection activeCell="C2" sqref="C2:G26"/>
    </sheetView>
  </sheetViews>
  <sheetFormatPr baseColWidth="10" defaultRowHeight="15" x14ac:dyDescent="0.25"/>
  <sheetData>
    <row r="2" spans="3:7" ht="60" x14ac:dyDescent="0.25">
      <c r="C2" s="84" t="s">
        <v>60</v>
      </c>
      <c r="D2" s="85" t="s">
        <v>78</v>
      </c>
      <c r="E2" s="85" t="s">
        <v>79</v>
      </c>
      <c r="F2" s="85" t="s">
        <v>80</v>
      </c>
      <c r="G2" s="86" t="s">
        <v>34</v>
      </c>
    </row>
    <row r="3" spans="3:7" x14ac:dyDescent="0.25">
      <c r="C3" s="87" t="s">
        <v>36</v>
      </c>
      <c r="D3" s="88">
        <v>0</v>
      </c>
      <c r="E3" s="153">
        <v>0</v>
      </c>
      <c r="F3" s="114">
        <v>20</v>
      </c>
      <c r="G3" s="115">
        <f>SUM(Tabla26[[#This Row],[En proceso 
de Notificación]:[Concluidas]])</f>
        <v>20</v>
      </c>
    </row>
    <row r="4" spans="3:7" x14ac:dyDescent="0.25">
      <c r="C4" s="87" t="s">
        <v>37</v>
      </c>
      <c r="D4" s="91">
        <v>0</v>
      </c>
      <c r="E4" s="154">
        <v>0</v>
      </c>
      <c r="F4" s="116">
        <v>19</v>
      </c>
      <c r="G4" s="115">
        <f>SUM(Tabla26[[#This Row],[En proceso 
de Notificación]:[Concluidas]])</f>
        <v>19</v>
      </c>
    </row>
    <row r="5" spans="3:7" x14ac:dyDescent="0.25">
      <c r="C5" s="87" t="s">
        <v>38</v>
      </c>
      <c r="D5" s="88">
        <v>0</v>
      </c>
      <c r="E5" s="153">
        <v>0</v>
      </c>
      <c r="F5" s="114">
        <v>19</v>
      </c>
      <c r="G5" s="115">
        <f>SUM(Tabla26[[#This Row],[En proceso 
de Notificación]:[Concluidas]])</f>
        <v>19</v>
      </c>
    </row>
    <row r="6" spans="3:7" x14ac:dyDescent="0.25">
      <c r="C6" s="87" t="s">
        <v>39</v>
      </c>
      <c r="D6" s="91">
        <v>0</v>
      </c>
      <c r="E6" s="154">
        <v>0</v>
      </c>
      <c r="F6" s="116">
        <v>15</v>
      </c>
      <c r="G6" s="115">
        <f>SUM(Tabla26[[#This Row],[En proceso 
de Notificación]:[Concluidas]])</f>
        <v>15</v>
      </c>
    </row>
    <row r="7" spans="3:7" x14ac:dyDescent="0.25">
      <c r="C7" s="87" t="s">
        <v>40</v>
      </c>
      <c r="D7" s="88">
        <v>0</v>
      </c>
      <c r="E7" s="153">
        <v>0</v>
      </c>
      <c r="F7" s="114">
        <v>27</v>
      </c>
      <c r="G7" s="115">
        <f>SUM(Tabla26[[#This Row],[En proceso 
de Notificación]:[Concluidas]])</f>
        <v>27</v>
      </c>
    </row>
    <row r="8" spans="3:7" x14ac:dyDescent="0.25">
      <c r="C8" s="87" t="s">
        <v>41</v>
      </c>
      <c r="D8" s="91">
        <v>0</v>
      </c>
      <c r="E8" s="154">
        <v>0</v>
      </c>
      <c r="F8" s="116">
        <v>77</v>
      </c>
      <c r="G8" s="115">
        <f>SUM(Tabla26[[#This Row],[En proceso 
de Notificación]:[Concluidas]])</f>
        <v>77</v>
      </c>
    </row>
    <row r="9" spans="3:7" x14ac:dyDescent="0.25">
      <c r="C9" s="87" t="s">
        <v>42</v>
      </c>
      <c r="D9" s="88">
        <v>0</v>
      </c>
      <c r="E9" s="153">
        <v>0</v>
      </c>
      <c r="F9" s="114">
        <v>76</v>
      </c>
      <c r="G9" s="115">
        <f>SUM(Tabla26[[#This Row],[En proceso 
de Notificación]:[Concluidas]])</f>
        <v>76</v>
      </c>
    </row>
    <row r="10" spans="3:7" x14ac:dyDescent="0.25">
      <c r="C10" s="87" t="s">
        <v>43</v>
      </c>
      <c r="D10" s="91">
        <v>0</v>
      </c>
      <c r="E10" s="154">
        <v>0</v>
      </c>
      <c r="F10" s="116">
        <v>67</v>
      </c>
      <c r="G10" s="115">
        <f>SUM(Tabla26[[#This Row],[En proceso 
de Notificación]:[Concluidas]])</f>
        <v>67</v>
      </c>
    </row>
    <row r="11" spans="3:7" x14ac:dyDescent="0.25">
      <c r="C11" s="87" t="s">
        <v>44</v>
      </c>
      <c r="D11" s="88">
        <v>0</v>
      </c>
      <c r="E11" s="153">
        <v>0</v>
      </c>
      <c r="F11" s="114">
        <v>100</v>
      </c>
      <c r="G11" s="115">
        <f>SUM(Tabla26[[#This Row],[En proceso 
de Notificación]:[Concluidas]])</f>
        <v>100</v>
      </c>
    </row>
    <row r="12" spans="3:7" x14ac:dyDescent="0.25">
      <c r="C12" s="87" t="s">
        <v>45</v>
      </c>
      <c r="D12" s="91">
        <v>0</v>
      </c>
      <c r="E12" s="154">
        <v>0</v>
      </c>
      <c r="F12" s="116">
        <v>110</v>
      </c>
      <c r="G12" s="115">
        <f>SUM(Tabla26[[#This Row],[En proceso 
de Notificación]:[Concluidas]])</f>
        <v>110</v>
      </c>
    </row>
    <row r="13" spans="3:7" x14ac:dyDescent="0.25">
      <c r="C13" s="87" t="s">
        <v>46</v>
      </c>
      <c r="D13" s="88">
        <v>0</v>
      </c>
      <c r="E13" s="153">
        <v>0</v>
      </c>
      <c r="F13" s="114">
        <v>86</v>
      </c>
      <c r="G13" s="115">
        <f>SUM(Tabla26[[#This Row],[En proceso 
de Notificación]:[Concluidas]])</f>
        <v>86</v>
      </c>
    </row>
    <row r="14" spans="3:7" x14ac:dyDescent="0.25">
      <c r="C14" s="87" t="s">
        <v>47</v>
      </c>
      <c r="D14" s="91">
        <v>0</v>
      </c>
      <c r="E14" s="154">
        <v>0</v>
      </c>
      <c r="F14" s="116">
        <v>57</v>
      </c>
      <c r="G14" s="115">
        <f>SUM(Tabla26[[#This Row],[En proceso 
de Notificación]:[Concluidas]])</f>
        <v>57</v>
      </c>
    </row>
    <row r="15" spans="3:7" x14ac:dyDescent="0.25">
      <c r="C15" s="87" t="s">
        <v>48</v>
      </c>
      <c r="D15" s="88">
        <v>0</v>
      </c>
      <c r="E15" s="153">
        <v>0</v>
      </c>
      <c r="F15" s="114">
        <v>76</v>
      </c>
      <c r="G15" s="115">
        <f>SUM(Tabla26[[#This Row],[En proceso 
de Notificación]:[Concluidas]])</f>
        <v>76</v>
      </c>
    </row>
    <row r="16" spans="3:7" x14ac:dyDescent="0.25">
      <c r="C16" s="87" t="s">
        <v>49</v>
      </c>
      <c r="D16" s="91">
        <v>0</v>
      </c>
      <c r="E16" s="154">
        <v>0</v>
      </c>
      <c r="F16" s="116">
        <v>75</v>
      </c>
      <c r="G16" s="115">
        <f>SUM(Tabla26[[#This Row],[En proceso 
de Notificación]:[Concluidas]])</f>
        <v>75</v>
      </c>
    </row>
    <row r="17" spans="3:7" x14ac:dyDescent="0.25">
      <c r="C17" s="87" t="s">
        <v>50</v>
      </c>
      <c r="D17" s="88">
        <v>0</v>
      </c>
      <c r="E17" s="153">
        <v>0</v>
      </c>
      <c r="F17" s="114">
        <v>196</v>
      </c>
      <c r="G17" s="115">
        <f>SUM(Tabla26[[#This Row],[En proceso 
de Notificación]:[Concluidas]])</f>
        <v>196</v>
      </c>
    </row>
    <row r="18" spans="3:7" x14ac:dyDescent="0.25">
      <c r="C18" s="87" t="s">
        <v>51</v>
      </c>
      <c r="D18" s="91">
        <v>0</v>
      </c>
      <c r="E18" s="154">
        <v>0</v>
      </c>
      <c r="F18" s="116">
        <v>143</v>
      </c>
      <c r="G18" s="115">
        <f>SUM(Tabla26[[#This Row],[En proceso 
de Notificación]:[Concluidas]])</f>
        <v>143</v>
      </c>
    </row>
    <row r="19" spans="3:7" x14ac:dyDescent="0.25">
      <c r="C19" s="87" t="s">
        <v>52</v>
      </c>
      <c r="D19" s="88">
        <v>0</v>
      </c>
      <c r="E19" s="153">
        <v>0</v>
      </c>
      <c r="F19" s="114">
        <v>206</v>
      </c>
      <c r="G19" s="115">
        <f>SUM(Tabla26[[#This Row],[En proceso 
de Notificación]:[Concluidas]])</f>
        <v>206</v>
      </c>
    </row>
    <row r="20" spans="3:7" x14ac:dyDescent="0.25">
      <c r="C20" s="87" t="s">
        <v>53</v>
      </c>
      <c r="D20" s="91">
        <v>0</v>
      </c>
      <c r="E20" s="154">
        <v>0</v>
      </c>
      <c r="F20" s="116">
        <v>116</v>
      </c>
      <c r="G20" s="115">
        <f>SUM(Tabla26[[#This Row],[En proceso 
de Notificación]:[Concluidas]])</f>
        <v>116</v>
      </c>
    </row>
    <row r="21" spans="3:7" x14ac:dyDescent="0.25">
      <c r="C21" s="87" t="s">
        <v>54</v>
      </c>
      <c r="D21" s="88">
        <v>0</v>
      </c>
      <c r="E21" s="153">
        <v>0</v>
      </c>
      <c r="F21" s="114">
        <v>123</v>
      </c>
      <c r="G21" s="115">
        <f>SUM(Tabla26[[#This Row],[En proceso 
de Notificación]:[Concluidas]])</f>
        <v>123</v>
      </c>
    </row>
    <row r="22" spans="3:7" x14ac:dyDescent="0.25">
      <c r="C22" s="87" t="s">
        <v>55</v>
      </c>
      <c r="D22" s="91">
        <v>0</v>
      </c>
      <c r="E22" s="154">
        <v>0</v>
      </c>
      <c r="F22" s="116">
        <v>115</v>
      </c>
      <c r="G22" s="115">
        <f>SUM(Tabla26[[#This Row],[En proceso 
de Notificación]:[Concluidas]])</f>
        <v>115</v>
      </c>
    </row>
    <row r="23" spans="3:7" x14ac:dyDescent="0.25">
      <c r="C23" s="87" t="s">
        <v>56</v>
      </c>
      <c r="D23" s="88">
        <v>0</v>
      </c>
      <c r="E23" s="153">
        <v>0</v>
      </c>
      <c r="F23" s="114">
        <v>176</v>
      </c>
      <c r="G23" s="115">
        <f>SUM(Tabla26[[#This Row],[En proceso 
de Notificación]:[Concluidas]])</f>
        <v>176</v>
      </c>
    </row>
    <row r="24" spans="3:7" x14ac:dyDescent="0.25">
      <c r="C24" s="87" t="s">
        <v>57</v>
      </c>
      <c r="D24" s="91">
        <v>0</v>
      </c>
      <c r="E24" s="154">
        <v>0</v>
      </c>
      <c r="F24" s="116">
        <v>207</v>
      </c>
      <c r="G24" s="115">
        <f>SUM(Tabla26[[#This Row],[En proceso 
de Notificación]:[Concluidas]])</f>
        <v>207</v>
      </c>
    </row>
    <row r="25" spans="3:7" x14ac:dyDescent="0.25">
      <c r="C25" s="87" t="s">
        <v>58</v>
      </c>
      <c r="D25" s="88">
        <v>49</v>
      </c>
      <c r="E25" s="153">
        <v>0</v>
      </c>
      <c r="F25" s="114">
        <v>229</v>
      </c>
      <c r="G25" s="115">
        <f>SUM(Tabla26[[#This Row],[En proceso 
de Notificación]:[Concluidas]])</f>
        <v>278</v>
      </c>
    </row>
    <row r="26" spans="3:7" x14ac:dyDescent="0.25">
      <c r="C26" s="93" t="s">
        <v>34</v>
      </c>
      <c r="D26" s="94">
        <f>SUBTOTAL(109,D3:D25)</f>
        <v>49</v>
      </c>
      <c r="E26" s="155">
        <f>SUBTOTAL(109,E3:E25)</f>
        <v>0</v>
      </c>
      <c r="F26" s="119">
        <f>SUBTOTAL(109,F3:F25)</f>
        <v>2335</v>
      </c>
      <c r="G26" s="115">
        <f>SUBTOTAL(109,G3:G25)</f>
        <v>2384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1EBA-62A3-4170-A376-6A23DA6F4BF4}">
  <dimension ref="B2:Z34"/>
  <sheetViews>
    <sheetView workbookViewId="0">
      <selection activeCell="B2" sqref="B2:Z34"/>
    </sheetView>
  </sheetViews>
  <sheetFormatPr baseColWidth="10" defaultRowHeight="15" x14ac:dyDescent="0.25"/>
  <sheetData>
    <row r="2" spans="2:26" x14ac:dyDescent="0.25">
      <c r="B2" s="120" t="s">
        <v>0</v>
      </c>
      <c r="C2" s="156" t="s">
        <v>35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7"/>
      <c r="X2" s="157"/>
      <c r="Y2" s="157"/>
      <c r="Z2" s="124" t="s">
        <v>34</v>
      </c>
    </row>
    <row r="3" spans="2:26" x14ac:dyDescent="0.25">
      <c r="B3" s="120"/>
      <c r="C3" s="125" t="s">
        <v>36</v>
      </c>
      <c r="D3" s="125" t="s">
        <v>37</v>
      </c>
      <c r="E3" s="125" t="s">
        <v>38</v>
      </c>
      <c r="F3" s="125" t="s">
        <v>39</v>
      </c>
      <c r="G3" s="125" t="s">
        <v>40</v>
      </c>
      <c r="H3" s="125" t="s">
        <v>41</v>
      </c>
      <c r="I3" s="125" t="s">
        <v>42</v>
      </c>
      <c r="J3" s="125" t="s">
        <v>43</v>
      </c>
      <c r="K3" s="125" t="s">
        <v>44</v>
      </c>
      <c r="L3" s="125" t="s">
        <v>45</v>
      </c>
      <c r="M3" s="125" t="s">
        <v>46</v>
      </c>
      <c r="N3" s="125" t="s">
        <v>47</v>
      </c>
      <c r="O3" s="125" t="s">
        <v>48</v>
      </c>
      <c r="P3" s="125" t="s">
        <v>49</v>
      </c>
      <c r="Q3" s="125" t="s">
        <v>50</v>
      </c>
      <c r="R3" s="125" t="s">
        <v>51</v>
      </c>
      <c r="S3" s="125" t="s">
        <v>52</v>
      </c>
      <c r="T3" s="125" t="s">
        <v>53</v>
      </c>
      <c r="U3" s="125" t="s">
        <v>54</v>
      </c>
      <c r="V3" s="125" t="s">
        <v>55</v>
      </c>
      <c r="W3" s="126" t="s">
        <v>56</v>
      </c>
      <c r="X3" s="126" t="s">
        <v>57</v>
      </c>
      <c r="Y3" s="126" t="s">
        <v>58</v>
      </c>
      <c r="Z3" s="124"/>
    </row>
    <row r="4" spans="2:26" x14ac:dyDescent="0.25">
      <c r="B4" s="158" t="s">
        <v>4</v>
      </c>
      <c r="C4" s="159" t="s">
        <v>59</v>
      </c>
      <c r="D4" s="160" t="s">
        <v>59</v>
      </c>
      <c r="E4" s="160">
        <v>5</v>
      </c>
      <c r="F4" s="160">
        <v>4</v>
      </c>
      <c r="G4" s="160">
        <v>8</v>
      </c>
      <c r="H4" s="160">
        <v>49</v>
      </c>
      <c r="I4" s="160">
        <v>38</v>
      </c>
      <c r="J4" s="160">
        <v>37</v>
      </c>
      <c r="K4" s="160">
        <v>37</v>
      </c>
      <c r="L4" s="160">
        <v>45</v>
      </c>
      <c r="M4" s="160">
        <v>37</v>
      </c>
      <c r="N4" s="160">
        <v>14</v>
      </c>
      <c r="O4" s="160">
        <v>34</v>
      </c>
      <c r="P4" s="160">
        <v>33</v>
      </c>
      <c r="Q4" s="160">
        <v>141</v>
      </c>
      <c r="R4" s="160">
        <v>92</v>
      </c>
      <c r="S4" s="160">
        <v>80</v>
      </c>
      <c r="T4" s="160">
        <v>63</v>
      </c>
      <c r="U4" s="160">
        <v>50</v>
      </c>
      <c r="V4" s="161">
        <v>70</v>
      </c>
      <c r="W4" s="160">
        <v>117</v>
      </c>
      <c r="X4" s="160">
        <v>137</v>
      </c>
      <c r="Y4" s="160">
        <v>167</v>
      </c>
      <c r="Z4" s="162">
        <f>SUM(Tabla25[[#This Row],[2002]:[2024]])</f>
        <v>1258</v>
      </c>
    </row>
    <row r="5" spans="2:26" x14ac:dyDescent="0.25">
      <c r="B5" s="158" t="s">
        <v>7</v>
      </c>
      <c r="C5" s="163" t="s">
        <v>59</v>
      </c>
      <c r="D5" s="164" t="s">
        <v>59</v>
      </c>
      <c r="E5" s="164" t="s">
        <v>59</v>
      </c>
      <c r="F5" s="164">
        <v>1</v>
      </c>
      <c r="G5" s="164">
        <v>1</v>
      </c>
      <c r="H5" s="164">
        <v>1</v>
      </c>
      <c r="I5" s="164">
        <v>1</v>
      </c>
      <c r="J5" s="164" t="s">
        <v>59</v>
      </c>
      <c r="K5" s="164" t="s">
        <v>59</v>
      </c>
      <c r="L5" s="164">
        <v>3</v>
      </c>
      <c r="M5" s="164">
        <v>7</v>
      </c>
      <c r="N5" s="164">
        <v>23</v>
      </c>
      <c r="O5" s="164">
        <v>16</v>
      </c>
      <c r="P5" s="164">
        <v>8</v>
      </c>
      <c r="Q5" s="164">
        <v>32</v>
      </c>
      <c r="R5" s="164">
        <v>11</v>
      </c>
      <c r="S5" s="164">
        <v>26</v>
      </c>
      <c r="T5" s="164">
        <v>14</v>
      </c>
      <c r="U5" s="164">
        <v>14</v>
      </c>
      <c r="V5" s="165">
        <v>22</v>
      </c>
      <c r="W5" s="164">
        <v>14</v>
      </c>
      <c r="X5" s="164">
        <v>37</v>
      </c>
      <c r="Y5" s="164">
        <v>58</v>
      </c>
      <c r="Z5" s="162">
        <f>SUM(Tabla25[[#This Row],[2002]:[2024]])</f>
        <v>289</v>
      </c>
    </row>
    <row r="6" spans="2:26" x14ac:dyDescent="0.25">
      <c r="B6" s="158" t="s">
        <v>13</v>
      </c>
      <c r="C6" s="159">
        <v>2</v>
      </c>
      <c r="D6" s="160">
        <v>1</v>
      </c>
      <c r="E6" s="160">
        <v>1</v>
      </c>
      <c r="F6" s="160">
        <v>1</v>
      </c>
      <c r="G6" s="160">
        <v>3</v>
      </c>
      <c r="H6" s="160">
        <v>1</v>
      </c>
      <c r="I6" s="160" t="s">
        <v>59</v>
      </c>
      <c r="J6" s="160">
        <v>4</v>
      </c>
      <c r="K6" s="160">
        <v>8</v>
      </c>
      <c r="L6" s="160">
        <v>13</v>
      </c>
      <c r="M6" s="160">
        <v>11</v>
      </c>
      <c r="N6" s="160">
        <v>5</v>
      </c>
      <c r="O6" s="160">
        <v>12</v>
      </c>
      <c r="P6" s="160">
        <v>10</v>
      </c>
      <c r="Q6" s="160">
        <v>13</v>
      </c>
      <c r="R6" s="160">
        <v>10</v>
      </c>
      <c r="S6" s="160">
        <v>34</v>
      </c>
      <c r="T6" s="160">
        <v>3</v>
      </c>
      <c r="U6" s="160">
        <v>5</v>
      </c>
      <c r="V6" s="161">
        <v>4</v>
      </c>
      <c r="W6" s="160">
        <v>6</v>
      </c>
      <c r="X6" s="160">
        <v>5</v>
      </c>
      <c r="Y6" s="160">
        <v>5</v>
      </c>
      <c r="Z6" s="162">
        <f>SUM(Tabla25[[#This Row],[2002]:[2024]])</f>
        <v>157</v>
      </c>
    </row>
    <row r="7" spans="2:26" x14ac:dyDescent="0.25">
      <c r="B7" s="158" t="s">
        <v>5</v>
      </c>
      <c r="C7" s="163">
        <v>6</v>
      </c>
      <c r="D7" s="164">
        <v>4</v>
      </c>
      <c r="E7" s="164">
        <v>2</v>
      </c>
      <c r="F7" s="164">
        <v>4</v>
      </c>
      <c r="G7" s="164">
        <v>3</v>
      </c>
      <c r="H7" s="164">
        <v>2</v>
      </c>
      <c r="I7" s="164">
        <v>15</v>
      </c>
      <c r="J7" s="164">
        <v>19</v>
      </c>
      <c r="K7" s="164">
        <v>15</v>
      </c>
      <c r="L7" s="164">
        <v>13</v>
      </c>
      <c r="M7" s="164">
        <v>9</v>
      </c>
      <c r="N7" s="164">
        <v>7</v>
      </c>
      <c r="O7" s="164">
        <v>4</v>
      </c>
      <c r="P7" s="164">
        <v>1</v>
      </c>
      <c r="Q7" s="164">
        <v>3</v>
      </c>
      <c r="R7" s="164">
        <v>12</v>
      </c>
      <c r="S7" s="164">
        <v>2</v>
      </c>
      <c r="T7" s="164">
        <v>3</v>
      </c>
      <c r="U7" s="164">
        <v>6</v>
      </c>
      <c r="V7" s="165">
        <v>3</v>
      </c>
      <c r="W7" s="164">
        <v>6</v>
      </c>
      <c r="X7" s="164">
        <v>1</v>
      </c>
      <c r="Y7" s="164" t="s">
        <v>59</v>
      </c>
      <c r="Z7" s="162">
        <f>SUM(Tabla25[[#This Row],[2002]:[2024]])</f>
        <v>140</v>
      </c>
    </row>
    <row r="8" spans="2:26" x14ac:dyDescent="0.25">
      <c r="B8" s="158" t="s">
        <v>6</v>
      </c>
      <c r="C8" s="159">
        <v>6</v>
      </c>
      <c r="D8" s="160">
        <v>10</v>
      </c>
      <c r="E8" s="160">
        <v>2</v>
      </c>
      <c r="F8" s="160">
        <v>1</v>
      </c>
      <c r="G8" s="160">
        <v>6</v>
      </c>
      <c r="H8" s="160">
        <v>9</v>
      </c>
      <c r="I8" s="160">
        <v>7</v>
      </c>
      <c r="J8" s="160" t="s">
        <v>59</v>
      </c>
      <c r="K8" s="160">
        <v>1</v>
      </c>
      <c r="L8" s="160">
        <v>3</v>
      </c>
      <c r="M8" s="160" t="s">
        <v>59</v>
      </c>
      <c r="N8" s="160" t="s">
        <v>59</v>
      </c>
      <c r="O8" s="160">
        <v>1</v>
      </c>
      <c r="P8" s="160">
        <v>3</v>
      </c>
      <c r="Q8" s="160">
        <v>1</v>
      </c>
      <c r="R8" s="160">
        <v>4</v>
      </c>
      <c r="S8" s="160">
        <v>16</v>
      </c>
      <c r="T8" s="160">
        <v>9</v>
      </c>
      <c r="U8" s="160">
        <v>6</v>
      </c>
      <c r="V8" s="161">
        <v>3</v>
      </c>
      <c r="W8" s="160">
        <v>2</v>
      </c>
      <c r="X8" s="160">
        <v>5</v>
      </c>
      <c r="Y8" s="160">
        <v>6</v>
      </c>
      <c r="Z8" s="162">
        <f>SUM(Tabla25[[#This Row],[2002]:[2024]])</f>
        <v>101</v>
      </c>
    </row>
    <row r="9" spans="2:26" x14ac:dyDescent="0.25">
      <c r="B9" s="158" t="s">
        <v>10</v>
      </c>
      <c r="C9" s="163" t="s">
        <v>59</v>
      </c>
      <c r="D9" s="164">
        <v>1</v>
      </c>
      <c r="E9" s="164">
        <v>2</v>
      </c>
      <c r="F9" s="164" t="s">
        <v>59</v>
      </c>
      <c r="G9" s="164" t="s">
        <v>59</v>
      </c>
      <c r="H9" s="164" t="s">
        <v>59</v>
      </c>
      <c r="I9" s="164">
        <v>1</v>
      </c>
      <c r="J9" s="164">
        <v>2</v>
      </c>
      <c r="K9" s="164">
        <v>3</v>
      </c>
      <c r="L9" s="164">
        <v>16</v>
      </c>
      <c r="M9" s="164">
        <v>1</v>
      </c>
      <c r="N9" s="164">
        <v>1</v>
      </c>
      <c r="O9" s="164">
        <v>2</v>
      </c>
      <c r="P9" s="164">
        <v>2</v>
      </c>
      <c r="Q9" s="164" t="s">
        <v>59</v>
      </c>
      <c r="R9" s="164">
        <v>2</v>
      </c>
      <c r="S9" s="164">
        <v>11</v>
      </c>
      <c r="T9" s="164">
        <v>5</v>
      </c>
      <c r="U9" s="164">
        <v>12</v>
      </c>
      <c r="V9" s="165" t="s">
        <v>59</v>
      </c>
      <c r="W9" s="164">
        <v>7</v>
      </c>
      <c r="X9" s="164">
        <v>2</v>
      </c>
      <c r="Y9" s="164">
        <v>7</v>
      </c>
      <c r="Z9" s="162">
        <f>SUM(Tabla25[[#This Row],[2002]:[2024]])</f>
        <v>77</v>
      </c>
    </row>
    <row r="10" spans="2:26" x14ac:dyDescent="0.25">
      <c r="B10" s="158" t="s">
        <v>11</v>
      </c>
      <c r="C10" s="159">
        <v>2</v>
      </c>
      <c r="D10" s="160" t="s">
        <v>59</v>
      </c>
      <c r="E10" s="160">
        <v>1</v>
      </c>
      <c r="F10" s="160" t="s">
        <v>59</v>
      </c>
      <c r="G10" s="160" t="s">
        <v>59</v>
      </c>
      <c r="H10" s="160" t="s">
        <v>59</v>
      </c>
      <c r="I10" s="160">
        <v>8</v>
      </c>
      <c r="J10" s="160" t="s">
        <v>59</v>
      </c>
      <c r="K10" s="160" t="s">
        <v>59</v>
      </c>
      <c r="L10" s="160" t="s">
        <v>59</v>
      </c>
      <c r="M10" s="160" t="s">
        <v>59</v>
      </c>
      <c r="N10" s="160" t="s">
        <v>59</v>
      </c>
      <c r="O10" s="160" t="s">
        <v>59</v>
      </c>
      <c r="P10" s="160">
        <v>5</v>
      </c>
      <c r="Q10" s="160" t="s">
        <v>59</v>
      </c>
      <c r="R10" s="160">
        <v>3</v>
      </c>
      <c r="S10" s="160">
        <v>3</v>
      </c>
      <c r="T10" s="160" t="s">
        <v>59</v>
      </c>
      <c r="U10" s="160">
        <v>6</v>
      </c>
      <c r="V10" s="161">
        <v>2</v>
      </c>
      <c r="W10" s="160">
        <v>5</v>
      </c>
      <c r="X10" s="160">
        <v>4</v>
      </c>
      <c r="Y10" s="160">
        <v>5</v>
      </c>
      <c r="Z10" s="162">
        <f>SUM(Tabla25[[#This Row],[2002]:[2024]])</f>
        <v>44</v>
      </c>
    </row>
    <row r="11" spans="2:26" x14ac:dyDescent="0.25">
      <c r="B11" s="158" t="s">
        <v>23</v>
      </c>
      <c r="C11" s="163" t="s">
        <v>59</v>
      </c>
      <c r="D11" s="164" t="s">
        <v>59</v>
      </c>
      <c r="E11" s="164" t="s">
        <v>59</v>
      </c>
      <c r="F11" s="164" t="s">
        <v>59</v>
      </c>
      <c r="G11" s="164" t="s">
        <v>59</v>
      </c>
      <c r="H11" s="164" t="s">
        <v>59</v>
      </c>
      <c r="I11" s="164" t="s">
        <v>59</v>
      </c>
      <c r="J11" s="164" t="s">
        <v>59</v>
      </c>
      <c r="K11" s="164">
        <v>6</v>
      </c>
      <c r="L11" s="164">
        <v>10</v>
      </c>
      <c r="M11" s="164">
        <v>7</v>
      </c>
      <c r="N11" s="164" t="s">
        <v>59</v>
      </c>
      <c r="O11" s="164">
        <v>1</v>
      </c>
      <c r="P11" s="164" t="s">
        <v>59</v>
      </c>
      <c r="Q11" s="164">
        <v>1</v>
      </c>
      <c r="R11" s="164">
        <v>2</v>
      </c>
      <c r="S11" s="164">
        <v>5</v>
      </c>
      <c r="T11" s="164" t="s">
        <v>59</v>
      </c>
      <c r="U11" s="164">
        <v>2</v>
      </c>
      <c r="V11" s="165">
        <v>1</v>
      </c>
      <c r="W11" s="164">
        <v>1</v>
      </c>
      <c r="X11" s="164" t="s">
        <v>59</v>
      </c>
      <c r="Y11" s="164">
        <v>1</v>
      </c>
      <c r="Z11" s="162">
        <f>SUM(Tabla25[[#This Row],[2002]:[2024]])</f>
        <v>37</v>
      </c>
    </row>
    <row r="12" spans="2:26" x14ac:dyDescent="0.25">
      <c r="B12" s="158" t="s">
        <v>9</v>
      </c>
      <c r="C12" s="159" t="s">
        <v>59</v>
      </c>
      <c r="D12" s="160">
        <v>1</v>
      </c>
      <c r="E12" s="160" t="s">
        <v>59</v>
      </c>
      <c r="F12" s="160" t="s">
        <v>59</v>
      </c>
      <c r="G12" s="160" t="s">
        <v>59</v>
      </c>
      <c r="H12" s="160">
        <v>2</v>
      </c>
      <c r="I12" s="160">
        <v>1</v>
      </c>
      <c r="J12" s="160">
        <v>2</v>
      </c>
      <c r="K12" s="160">
        <v>6</v>
      </c>
      <c r="L12" s="160">
        <v>2</v>
      </c>
      <c r="M12" s="160">
        <v>2</v>
      </c>
      <c r="N12" s="160" t="s">
        <v>59</v>
      </c>
      <c r="O12" s="160" t="s">
        <v>59</v>
      </c>
      <c r="P12" s="160" t="s">
        <v>59</v>
      </c>
      <c r="Q12" s="160" t="s">
        <v>59</v>
      </c>
      <c r="R12" s="160" t="s">
        <v>59</v>
      </c>
      <c r="S12" s="160">
        <v>5</v>
      </c>
      <c r="T12" s="160" t="s">
        <v>59</v>
      </c>
      <c r="U12" s="160">
        <v>3</v>
      </c>
      <c r="V12" s="161">
        <v>1</v>
      </c>
      <c r="W12" s="160">
        <v>1</v>
      </c>
      <c r="X12" s="160">
        <v>1</v>
      </c>
      <c r="Y12" s="160">
        <v>9</v>
      </c>
      <c r="Z12" s="162">
        <f>SUM(Tabla25[[#This Row],[2002]:[2024]])</f>
        <v>36</v>
      </c>
    </row>
    <row r="13" spans="2:26" x14ac:dyDescent="0.25">
      <c r="B13" s="158" t="s">
        <v>8</v>
      </c>
      <c r="C13" s="163" t="s">
        <v>59</v>
      </c>
      <c r="D13" s="164" t="s">
        <v>59</v>
      </c>
      <c r="E13" s="164" t="s">
        <v>59</v>
      </c>
      <c r="F13" s="164" t="s">
        <v>59</v>
      </c>
      <c r="G13" s="164">
        <v>3</v>
      </c>
      <c r="H13" s="164">
        <v>5</v>
      </c>
      <c r="I13" s="164">
        <v>4</v>
      </c>
      <c r="J13" s="164" t="s">
        <v>59</v>
      </c>
      <c r="K13" s="164" t="s">
        <v>59</v>
      </c>
      <c r="L13" s="164" t="s">
        <v>59</v>
      </c>
      <c r="M13" s="164" t="s">
        <v>59</v>
      </c>
      <c r="N13" s="164" t="s">
        <v>59</v>
      </c>
      <c r="O13" s="164" t="s">
        <v>59</v>
      </c>
      <c r="P13" s="164">
        <v>1</v>
      </c>
      <c r="Q13" s="164">
        <v>1</v>
      </c>
      <c r="R13" s="164" t="s">
        <v>59</v>
      </c>
      <c r="S13" s="164" t="s">
        <v>59</v>
      </c>
      <c r="T13" s="164">
        <v>10</v>
      </c>
      <c r="U13" s="164">
        <v>2</v>
      </c>
      <c r="V13" s="165" t="s">
        <v>59</v>
      </c>
      <c r="W13" s="164" t="s">
        <v>59</v>
      </c>
      <c r="X13" s="164" t="s">
        <v>59</v>
      </c>
      <c r="Y13" s="164">
        <v>3</v>
      </c>
      <c r="Z13" s="162">
        <f>SUM(Tabla25[[#This Row],[2002]:[2024]])</f>
        <v>29</v>
      </c>
    </row>
    <row r="14" spans="2:26" x14ac:dyDescent="0.25">
      <c r="B14" s="158" t="s">
        <v>15</v>
      </c>
      <c r="C14" s="159" t="s">
        <v>59</v>
      </c>
      <c r="D14" s="160" t="s">
        <v>59</v>
      </c>
      <c r="E14" s="160">
        <v>1</v>
      </c>
      <c r="F14" s="160">
        <v>1</v>
      </c>
      <c r="G14" s="160" t="s">
        <v>59</v>
      </c>
      <c r="H14" s="160" t="s">
        <v>59</v>
      </c>
      <c r="I14" s="160">
        <v>1</v>
      </c>
      <c r="J14" s="160" t="s">
        <v>59</v>
      </c>
      <c r="K14" s="160">
        <v>3</v>
      </c>
      <c r="L14" s="160">
        <v>1</v>
      </c>
      <c r="M14" s="160">
        <v>9</v>
      </c>
      <c r="N14" s="160" t="s">
        <v>59</v>
      </c>
      <c r="O14" s="160" t="s">
        <v>59</v>
      </c>
      <c r="P14" s="160">
        <v>6</v>
      </c>
      <c r="Q14" s="160" t="s">
        <v>59</v>
      </c>
      <c r="R14" s="160" t="s">
        <v>59</v>
      </c>
      <c r="S14" s="160">
        <v>2</v>
      </c>
      <c r="T14" s="160">
        <v>1</v>
      </c>
      <c r="U14" s="160">
        <v>1</v>
      </c>
      <c r="V14" s="161">
        <v>1</v>
      </c>
      <c r="W14" s="160" t="s">
        <v>59</v>
      </c>
      <c r="X14" s="160" t="s">
        <v>59</v>
      </c>
      <c r="Y14" s="160" t="s">
        <v>59</v>
      </c>
      <c r="Z14" s="162">
        <f>SUM(Tabla25[[#This Row],[2002]:[2024]])</f>
        <v>27</v>
      </c>
    </row>
    <row r="15" spans="2:26" x14ac:dyDescent="0.25">
      <c r="B15" s="158" t="s">
        <v>12</v>
      </c>
      <c r="C15" s="163" t="s">
        <v>59</v>
      </c>
      <c r="D15" s="164" t="s">
        <v>59</v>
      </c>
      <c r="E15" s="164" t="s">
        <v>59</v>
      </c>
      <c r="F15" s="164" t="s">
        <v>59</v>
      </c>
      <c r="G15" s="164" t="s">
        <v>59</v>
      </c>
      <c r="H15" s="164">
        <v>1</v>
      </c>
      <c r="I15" s="164" t="s">
        <v>59</v>
      </c>
      <c r="J15" s="164" t="s">
        <v>59</v>
      </c>
      <c r="K15" s="164">
        <v>15</v>
      </c>
      <c r="L15" s="164">
        <v>1</v>
      </c>
      <c r="M15" s="164">
        <v>1</v>
      </c>
      <c r="N15" s="164" t="s">
        <v>59</v>
      </c>
      <c r="O15" s="164">
        <v>1</v>
      </c>
      <c r="P15" s="164" t="s">
        <v>59</v>
      </c>
      <c r="Q15" s="164">
        <v>1</v>
      </c>
      <c r="R15" s="164">
        <v>2</v>
      </c>
      <c r="S15" s="164">
        <v>1</v>
      </c>
      <c r="T15" s="164">
        <v>1</v>
      </c>
      <c r="U15" s="164" t="s">
        <v>59</v>
      </c>
      <c r="V15" s="165" t="s">
        <v>59</v>
      </c>
      <c r="W15" s="164" t="s">
        <v>59</v>
      </c>
      <c r="X15" s="164">
        <v>1</v>
      </c>
      <c r="Y15" s="164" t="s">
        <v>59</v>
      </c>
      <c r="Z15" s="162">
        <f>SUM(Tabla25[[#This Row],[2002]:[2024]])</f>
        <v>25</v>
      </c>
    </row>
    <row r="16" spans="2:26" x14ac:dyDescent="0.25">
      <c r="B16" s="158" t="s">
        <v>22</v>
      </c>
      <c r="C16" s="159">
        <v>1</v>
      </c>
      <c r="D16" s="160" t="s">
        <v>59</v>
      </c>
      <c r="E16" s="160">
        <v>3</v>
      </c>
      <c r="F16" s="160" t="s">
        <v>59</v>
      </c>
      <c r="G16" s="160" t="s">
        <v>59</v>
      </c>
      <c r="H16" s="160" t="s">
        <v>59</v>
      </c>
      <c r="I16" s="160" t="s">
        <v>59</v>
      </c>
      <c r="J16" s="160">
        <v>1</v>
      </c>
      <c r="K16" s="160" t="s">
        <v>59</v>
      </c>
      <c r="L16" s="160" t="s">
        <v>59</v>
      </c>
      <c r="M16" s="160" t="s">
        <v>59</v>
      </c>
      <c r="N16" s="160" t="s">
        <v>59</v>
      </c>
      <c r="O16" s="160" t="s">
        <v>59</v>
      </c>
      <c r="P16" s="160" t="s">
        <v>59</v>
      </c>
      <c r="Q16" s="160">
        <v>1</v>
      </c>
      <c r="R16" s="160">
        <v>1</v>
      </c>
      <c r="S16" s="160">
        <v>1</v>
      </c>
      <c r="T16" s="160">
        <v>4</v>
      </c>
      <c r="U16" s="160">
        <v>1</v>
      </c>
      <c r="V16" s="161" t="s">
        <v>59</v>
      </c>
      <c r="W16" s="160">
        <v>6</v>
      </c>
      <c r="X16" s="160">
        <v>5</v>
      </c>
      <c r="Y16" s="160" t="s">
        <v>59</v>
      </c>
      <c r="Z16" s="162">
        <f>SUM(Tabla25[[#This Row],[2002]:[2024]])</f>
        <v>24</v>
      </c>
    </row>
    <row r="17" spans="2:26" x14ac:dyDescent="0.25">
      <c r="B17" s="158" t="s">
        <v>18</v>
      </c>
      <c r="C17" s="163" t="s">
        <v>59</v>
      </c>
      <c r="D17" s="164" t="s">
        <v>59</v>
      </c>
      <c r="E17" s="164" t="s">
        <v>59</v>
      </c>
      <c r="F17" s="164" t="s">
        <v>59</v>
      </c>
      <c r="G17" s="164" t="s">
        <v>59</v>
      </c>
      <c r="H17" s="164" t="s">
        <v>59</v>
      </c>
      <c r="I17" s="164" t="s">
        <v>59</v>
      </c>
      <c r="J17" s="164" t="s">
        <v>59</v>
      </c>
      <c r="K17" s="164" t="s">
        <v>59</v>
      </c>
      <c r="L17" s="164" t="s">
        <v>59</v>
      </c>
      <c r="M17" s="164" t="s">
        <v>59</v>
      </c>
      <c r="N17" s="164">
        <v>5</v>
      </c>
      <c r="O17" s="164">
        <v>3</v>
      </c>
      <c r="P17" s="164">
        <v>1</v>
      </c>
      <c r="Q17" s="164">
        <v>1</v>
      </c>
      <c r="R17" s="164">
        <v>1</v>
      </c>
      <c r="S17" s="164">
        <v>6</v>
      </c>
      <c r="T17" s="164" t="s">
        <v>59</v>
      </c>
      <c r="U17" s="164">
        <v>4</v>
      </c>
      <c r="V17" s="165">
        <v>1</v>
      </c>
      <c r="W17" s="164" t="s">
        <v>59</v>
      </c>
      <c r="X17" s="164" t="s">
        <v>59</v>
      </c>
      <c r="Y17" s="164">
        <v>1</v>
      </c>
      <c r="Z17" s="162">
        <f>SUM(Tabla25[[#This Row],[2002]:[2024]])</f>
        <v>23</v>
      </c>
    </row>
    <row r="18" spans="2:26" x14ac:dyDescent="0.25">
      <c r="B18" s="158" t="s">
        <v>14</v>
      </c>
      <c r="C18" s="159">
        <v>1</v>
      </c>
      <c r="D18" s="160" t="s">
        <v>59</v>
      </c>
      <c r="E18" s="160">
        <v>1</v>
      </c>
      <c r="F18" s="160" t="s">
        <v>59</v>
      </c>
      <c r="G18" s="160" t="s">
        <v>59</v>
      </c>
      <c r="H18" s="160" t="s">
        <v>59</v>
      </c>
      <c r="I18" s="160" t="s">
        <v>59</v>
      </c>
      <c r="J18" s="160" t="s">
        <v>59</v>
      </c>
      <c r="K18" s="160" t="s">
        <v>59</v>
      </c>
      <c r="L18" s="160" t="s">
        <v>59</v>
      </c>
      <c r="M18" s="160" t="s">
        <v>59</v>
      </c>
      <c r="N18" s="160">
        <v>1</v>
      </c>
      <c r="O18" s="160">
        <v>1</v>
      </c>
      <c r="P18" s="160">
        <v>2</v>
      </c>
      <c r="Q18" s="160">
        <v>1</v>
      </c>
      <c r="R18" s="160" t="s">
        <v>59</v>
      </c>
      <c r="S18" s="160">
        <v>1</v>
      </c>
      <c r="T18" s="160" t="s">
        <v>59</v>
      </c>
      <c r="U18" s="160">
        <v>4</v>
      </c>
      <c r="V18" s="161">
        <v>3</v>
      </c>
      <c r="W18" s="160" t="s">
        <v>59</v>
      </c>
      <c r="X18" s="160">
        <v>1</v>
      </c>
      <c r="Y18" s="160">
        <v>1</v>
      </c>
      <c r="Z18" s="162">
        <f>SUM(Tabla25[[#This Row],[2002]:[2024]])</f>
        <v>17</v>
      </c>
    </row>
    <row r="19" spans="2:26" x14ac:dyDescent="0.25">
      <c r="B19" s="158" t="s">
        <v>17</v>
      </c>
      <c r="C19" s="163">
        <v>1</v>
      </c>
      <c r="D19" s="164" t="s">
        <v>59</v>
      </c>
      <c r="E19" s="164">
        <v>1</v>
      </c>
      <c r="F19" s="164" t="s">
        <v>59</v>
      </c>
      <c r="G19" s="164" t="s">
        <v>59</v>
      </c>
      <c r="H19" s="164">
        <v>1</v>
      </c>
      <c r="I19" s="164" t="s">
        <v>59</v>
      </c>
      <c r="J19" s="164">
        <v>1</v>
      </c>
      <c r="K19" s="164" t="s">
        <v>59</v>
      </c>
      <c r="L19" s="164" t="s">
        <v>59</v>
      </c>
      <c r="M19" s="164" t="s">
        <v>59</v>
      </c>
      <c r="N19" s="164">
        <v>1</v>
      </c>
      <c r="O19" s="164">
        <v>1</v>
      </c>
      <c r="P19" s="164" t="s">
        <v>59</v>
      </c>
      <c r="Q19" s="164" t="s">
        <v>59</v>
      </c>
      <c r="R19" s="164" t="s">
        <v>59</v>
      </c>
      <c r="S19" s="164" t="s">
        <v>59</v>
      </c>
      <c r="T19" s="164" t="s">
        <v>59</v>
      </c>
      <c r="U19" s="164" t="s">
        <v>59</v>
      </c>
      <c r="V19" s="165" t="s">
        <v>59</v>
      </c>
      <c r="W19" s="164">
        <v>1</v>
      </c>
      <c r="X19" s="164">
        <v>3</v>
      </c>
      <c r="Y19" s="164">
        <v>6</v>
      </c>
      <c r="Z19" s="162">
        <f>SUM(Tabla25[[#This Row],[2002]:[2024]])</f>
        <v>16</v>
      </c>
    </row>
    <row r="20" spans="2:26" x14ac:dyDescent="0.25">
      <c r="B20" s="158" t="s">
        <v>19</v>
      </c>
      <c r="C20" s="159" t="s">
        <v>59</v>
      </c>
      <c r="D20" s="160" t="s">
        <v>59</v>
      </c>
      <c r="E20" s="160" t="s">
        <v>59</v>
      </c>
      <c r="F20" s="160" t="s">
        <v>59</v>
      </c>
      <c r="G20" s="160" t="s">
        <v>59</v>
      </c>
      <c r="H20" s="160" t="s">
        <v>59</v>
      </c>
      <c r="I20" s="160" t="s">
        <v>59</v>
      </c>
      <c r="J20" s="160" t="s">
        <v>59</v>
      </c>
      <c r="K20" s="160" t="s">
        <v>59</v>
      </c>
      <c r="L20" s="160">
        <v>1</v>
      </c>
      <c r="M20" s="160" t="s">
        <v>59</v>
      </c>
      <c r="N20" s="160" t="s">
        <v>59</v>
      </c>
      <c r="O20" s="160" t="s">
        <v>59</v>
      </c>
      <c r="P20" s="160" t="s">
        <v>59</v>
      </c>
      <c r="Q20" s="160" t="s">
        <v>59</v>
      </c>
      <c r="R20" s="160" t="s">
        <v>59</v>
      </c>
      <c r="S20" s="160">
        <v>2</v>
      </c>
      <c r="T20" s="160" t="s">
        <v>59</v>
      </c>
      <c r="U20" s="160">
        <v>3</v>
      </c>
      <c r="V20" s="161" t="s">
        <v>59</v>
      </c>
      <c r="W20" s="160">
        <v>5</v>
      </c>
      <c r="X20" s="160">
        <v>1</v>
      </c>
      <c r="Y20" s="160" t="s">
        <v>59</v>
      </c>
      <c r="Z20" s="162">
        <f>SUM(Tabla25[[#This Row],[2002]:[2024]])</f>
        <v>12</v>
      </c>
    </row>
    <row r="21" spans="2:26" x14ac:dyDescent="0.25">
      <c r="B21" s="158" t="s">
        <v>25</v>
      </c>
      <c r="C21" s="163" t="s">
        <v>59</v>
      </c>
      <c r="D21" s="164">
        <v>1</v>
      </c>
      <c r="E21" s="164" t="s">
        <v>59</v>
      </c>
      <c r="F21" s="164" t="s">
        <v>59</v>
      </c>
      <c r="G21" s="164" t="s">
        <v>59</v>
      </c>
      <c r="H21" s="164">
        <v>5</v>
      </c>
      <c r="I21" s="164" t="s">
        <v>59</v>
      </c>
      <c r="J21" s="164" t="s">
        <v>59</v>
      </c>
      <c r="K21" s="164" t="s">
        <v>59</v>
      </c>
      <c r="L21" s="164" t="s">
        <v>59</v>
      </c>
      <c r="M21" s="164" t="s">
        <v>59</v>
      </c>
      <c r="N21" s="164" t="s">
        <v>59</v>
      </c>
      <c r="O21" s="164" t="s">
        <v>59</v>
      </c>
      <c r="P21" s="164" t="s">
        <v>59</v>
      </c>
      <c r="Q21" s="164" t="s">
        <v>59</v>
      </c>
      <c r="R21" s="164">
        <v>1</v>
      </c>
      <c r="S21" s="164" t="s">
        <v>59</v>
      </c>
      <c r="T21" s="164" t="s">
        <v>59</v>
      </c>
      <c r="U21" s="164" t="s">
        <v>59</v>
      </c>
      <c r="V21" s="165">
        <v>2</v>
      </c>
      <c r="W21" s="164">
        <v>1</v>
      </c>
      <c r="X21" s="164" t="s">
        <v>59</v>
      </c>
      <c r="Y21" s="164">
        <v>2</v>
      </c>
      <c r="Z21" s="162">
        <f>SUM(Tabla25[[#This Row],[2002]:[2024]])</f>
        <v>12</v>
      </c>
    </row>
    <row r="22" spans="2:26" x14ac:dyDescent="0.25">
      <c r="B22" s="158" t="s">
        <v>31</v>
      </c>
      <c r="C22" s="159" t="s">
        <v>59</v>
      </c>
      <c r="D22" s="160" t="s">
        <v>59</v>
      </c>
      <c r="E22" s="160" t="s">
        <v>59</v>
      </c>
      <c r="F22" s="160" t="s">
        <v>59</v>
      </c>
      <c r="G22" s="160" t="s">
        <v>59</v>
      </c>
      <c r="H22" s="160" t="s">
        <v>59</v>
      </c>
      <c r="I22" s="160" t="s">
        <v>59</v>
      </c>
      <c r="J22" s="160" t="s">
        <v>59</v>
      </c>
      <c r="K22" s="160" t="s">
        <v>59</v>
      </c>
      <c r="L22" s="160">
        <v>1</v>
      </c>
      <c r="M22" s="160" t="s">
        <v>59</v>
      </c>
      <c r="N22" s="160" t="s">
        <v>59</v>
      </c>
      <c r="O22" s="160" t="s">
        <v>59</v>
      </c>
      <c r="P22" s="160" t="s">
        <v>59</v>
      </c>
      <c r="Q22" s="160" t="s">
        <v>59</v>
      </c>
      <c r="R22" s="160">
        <v>2</v>
      </c>
      <c r="S22" s="160">
        <v>7</v>
      </c>
      <c r="T22" s="160" t="s">
        <v>59</v>
      </c>
      <c r="U22" s="160" t="s">
        <v>59</v>
      </c>
      <c r="V22" s="161" t="s">
        <v>59</v>
      </c>
      <c r="W22" s="160" t="s">
        <v>59</v>
      </c>
      <c r="X22" s="160" t="s">
        <v>59</v>
      </c>
      <c r="Y22" s="160" t="s">
        <v>59</v>
      </c>
      <c r="Z22" s="162">
        <f>SUM(Tabla25[[#This Row],[2002]:[2024]])</f>
        <v>10</v>
      </c>
    </row>
    <row r="23" spans="2:26" x14ac:dyDescent="0.25">
      <c r="B23" s="158" t="s">
        <v>21</v>
      </c>
      <c r="C23" s="163" t="s">
        <v>59</v>
      </c>
      <c r="D23" s="164" t="s">
        <v>59</v>
      </c>
      <c r="E23" s="164" t="s">
        <v>59</v>
      </c>
      <c r="F23" s="164" t="s">
        <v>59</v>
      </c>
      <c r="G23" s="164" t="s">
        <v>59</v>
      </c>
      <c r="H23" s="164" t="s">
        <v>59</v>
      </c>
      <c r="I23" s="164" t="s">
        <v>59</v>
      </c>
      <c r="J23" s="164">
        <v>1</v>
      </c>
      <c r="K23" s="164" t="s">
        <v>59</v>
      </c>
      <c r="L23" s="164" t="s">
        <v>59</v>
      </c>
      <c r="M23" s="164" t="s">
        <v>59</v>
      </c>
      <c r="N23" s="164" t="s">
        <v>59</v>
      </c>
      <c r="O23" s="164" t="s">
        <v>59</v>
      </c>
      <c r="P23" s="164">
        <v>2</v>
      </c>
      <c r="Q23" s="164" t="s">
        <v>59</v>
      </c>
      <c r="R23" s="164" t="s">
        <v>59</v>
      </c>
      <c r="S23" s="164">
        <v>2</v>
      </c>
      <c r="T23" s="164" t="s">
        <v>59</v>
      </c>
      <c r="U23" s="164">
        <v>2</v>
      </c>
      <c r="V23" s="165">
        <v>1</v>
      </c>
      <c r="W23" s="164" t="s">
        <v>59</v>
      </c>
      <c r="X23" s="164">
        <v>1</v>
      </c>
      <c r="Y23" s="164" t="s">
        <v>59</v>
      </c>
      <c r="Z23" s="162">
        <f>SUM(Tabla25[[#This Row],[2002]:[2024]])</f>
        <v>9</v>
      </c>
    </row>
    <row r="24" spans="2:26" x14ac:dyDescent="0.25">
      <c r="B24" s="158" t="s">
        <v>16</v>
      </c>
      <c r="C24" s="159" t="s">
        <v>59</v>
      </c>
      <c r="D24" s="160" t="s">
        <v>59</v>
      </c>
      <c r="E24" s="160" t="s">
        <v>59</v>
      </c>
      <c r="F24" s="160">
        <v>2</v>
      </c>
      <c r="G24" s="160">
        <v>2</v>
      </c>
      <c r="H24" s="160">
        <v>1</v>
      </c>
      <c r="I24" s="160" t="s">
        <v>59</v>
      </c>
      <c r="J24" s="160" t="s">
        <v>59</v>
      </c>
      <c r="K24" s="160">
        <v>1</v>
      </c>
      <c r="L24" s="160">
        <v>1</v>
      </c>
      <c r="M24" s="160" t="s">
        <v>59</v>
      </c>
      <c r="N24" s="160" t="s">
        <v>59</v>
      </c>
      <c r="O24" s="160" t="s">
        <v>59</v>
      </c>
      <c r="P24" s="160" t="s">
        <v>59</v>
      </c>
      <c r="Q24" s="160" t="s">
        <v>59</v>
      </c>
      <c r="R24" s="160" t="s">
        <v>59</v>
      </c>
      <c r="S24" s="160" t="s">
        <v>59</v>
      </c>
      <c r="T24" s="160" t="s">
        <v>59</v>
      </c>
      <c r="U24" s="160" t="s">
        <v>59</v>
      </c>
      <c r="V24" s="161" t="s">
        <v>59</v>
      </c>
      <c r="W24" s="160" t="s">
        <v>59</v>
      </c>
      <c r="X24" s="160" t="s">
        <v>59</v>
      </c>
      <c r="Y24" s="160">
        <v>1</v>
      </c>
      <c r="Z24" s="162">
        <f>SUM(Tabla25[[#This Row],[2002]:[2024]])</f>
        <v>8</v>
      </c>
    </row>
    <row r="25" spans="2:26" x14ac:dyDescent="0.25">
      <c r="B25" s="158" t="s">
        <v>26</v>
      </c>
      <c r="C25" s="163" t="s">
        <v>59</v>
      </c>
      <c r="D25" s="164" t="s">
        <v>59</v>
      </c>
      <c r="E25" s="164" t="s">
        <v>59</v>
      </c>
      <c r="F25" s="164" t="s">
        <v>59</v>
      </c>
      <c r="G25" s="164">
        <v>1</v>
      </c>
      <c r="H25" s="164" t="s">
        <v>59</v>
      </c>
      <c r="I25" s="164" t="s">
        <v>59</v>
      </c>
      <c r="J25" s="164" t="s">
        <v>59</v>
      </c>
      <c r="K25" s="164" t="s">
        <v>59</v>
      </c>
      <c r="L25" s="164" t="s">
        <v>59</v>
      </c>
      <c r="M25" s="164" t="s">
        <v>59</v>
      </c>
      <c r="N25" s="164" t="s">
        <v>59</v>
      </c>
      <c r="O25" s="164" t="s">
        <v>59</v>
      </c>
      <c r="P25" s="164" t="s">
        <v>59</v>
      </c>
      <c r="Q25" s="164" t="s">
        <v>59</v>
      </c>
      <c r="R25" s="164" t="s">
        <v>59</v>
      </c>
      <c r="S25" s="164" t="s">
        <v>59</v>
      </c>
      <c r="T25" s="164" t="s">
        <v>59</v>
      </c>
      <c r="U25" s="164" t="s">
        <v>59</v>
      </c>
      <c r="V25" s="165">
        <v>1</v>
      </c>
      <c r="W25" s="164" t="s">
        <v>59</v>
      </c>
      <c r="X25" s="164" t="s">
        <v>59</v>
      </c>
      <c r="Y25" s="164">
        <v>5</v>
      </c>
      <c r="Z25" s="162">
        <f>SUM(Tabla25[[#This Row],[2002]:[2024]])</f>
        <v>7</v>
      </c>
    </row>
    <row r="26" spans="2:26" x14ac:dyDescent="0.25">
      <c r="B26" s="158" t="s">
        <v>30</v>
      </c>
      <c r="C26" s="159">
        <v>1</v>
      </c>
      <c r="D26" s="160" t="s">
        <v>59</v>
      </c>
      <c r="E26" s="160" t="s">
        <v>59</v>
      </c>
      <c r="F26" s="160" t="s">
        <v>59</v>
      </c>
      <c r="G26" s="160" t="s">
        <v>59</v>
      </c>
      <c r="H26" s="160" t="s">
        <v>59</v>
      </c>
      <c r="I26" s="160" t="s">
        <v>59</v>
      </c>
      <c r="J26" s="160" t="s">
        <v>59</v>
      </c>
      <c r="K26" s="160" t="s">
        <v>59</v>
      </c>
      <c r="L26" s="160" t="s">
        <v>59</v>
      </c>
      <c r="M26" s="160" t="s">
        <v>59</v>
      </c>
      <c r="N26" s="160" t="s">
        <v>59</v>
      </c>
      <c r="O26" s="160" t="s">
        <v>59</v>
      </c>
      <c r="P26" s="160" t="s">
        <v>59</v>
      </c>
      <c r="Q26" s="160" t="s">
        <v>59</v>
      </c>
      <c r="R26" s="160" t="s">
        <v>59</v>
      </c>
      <c r="S26" s="160" t="s">
        <v>59</v>
      </c>
      <c r="T26" s="160">
        <v>3</v>
      </c>
      <c r="U26" s="160" t="s">
        <v>59</v>
      </c>
      <c r="V26" s="161" t="s">
        <v>59</v>
      </c>
      <c r="W26" s="160">
        <v>2</v>
      </c>
      <c r="X26" s="160" t="s">
        <v>59</v>
      </c>
      <c r="Y26" s="160" t="s">
        <v>59</v>
      </c>
      <c r="Z26" s="162">
        <f>SUM(Tabla25[[#This Row],[2002]:[2024]])</f>
        <v>6</v>
      </c>
    </row>
    <row r="27" spans="2:26" x14ac:dyDescent="0.25">
      <c r="B27" s="158" t="s">
        <v>24</v>
      </c>
      <c r="C27" s="163" t="s">
        <v>59</v>
      </c>
      <c r="D27" s="164" t="s">
        <v>59</v>
      </c>
      <c r="E27" s="164" t="s">
        <v>59</v>
      </c>
      <c r="F27" s="164" t="s">
        <v>59</v>
      </c>
      <c r="G27" s="164" t="s">
        <v>59</v>
      </c>
      <c r="H27" s="164" t="s">
        <v>59</v>
      </c>
      <c r="I27" s="164" t="s">
        <v>59</v>
      </c>
      <c r="J27" s="164" t="s">
        <v>59</v>
      </c>
      <c r="K27" s="164">
        <v>1</v>
      </c>
      <c r="L27" s="164" t="s">
        <v>59</v>
      </c>
      <c r="M27" s="164" t="s">
        <v>59</v>
      </c>
      <c r="N27" s="164" t="s">
        <v>59</v>
      </c>
      <c r="O27" s="164" t="s">
        <v>59</v>
      </c>
      <c r="P27" s="164" t="s">
        <v>59</v>
      </c>
      <c r="Q27" s="164" t="s">
        <v>59</v>
      </c>
      <c r="R27" s="164" t="s">
        <v>59</v>
      </c>
      <c r="S27" s="164" t="s">
        <v>59</v>
      </c>
      <c r="T27" s="164" t="s">
        <v>59</v>
      </c>
      <c r="U27" s="164">
        <v>2</v>
      </c>
      <c r="V27" s="165" t="s">
        <v>59</v>
      </c>
      <c r="W27" s="164" t="s">
        <v>59</v>
      </c>
      <c r="X27" s="164">
        <v>1</v>
      </c>
      <c r="Y27" s="164">
        <v>1</v>
      </c>
      <c r="Z27" s="162">
        <f>SUM(Tabla25[[#This Row],[2002]:[2024]])</f>
        <v>5</v>
      </c>
    </row>
    <row r="28" spans="2:26" ht="24.75" x14ac:dyDescent="0.25">
      <c r="B28" s="127" t="s">
        <v>28</v>
      </c>
      <c r="C28" s="128" t="s">
        <v>59</v>
      </c>
      <c r="D28" s="128" t="s">
        <v>59</v>
      </c>
      <c r="E28" s="128" t="s">
        <v>59</v>
      </c>
      <c r="F28" s="128" t="s">
        <v>59</v>
      </c>
      <c r="G28" s="128" t="s">
        <v>59</v>
      </c>
      <c r="H28" s="128" t="s">
        <v>59</v>
      </c>
      <c r="I28" s="128" t="s">
        <v>59</v>
      </c>
      <c r="J28" s="128" t="s">
        <v>59</v>
      </c>
      <c r="K28" s="128">
        <v>4</v>
      </c>
      <c r="L28" s="128" t="s">
        <v>59</v>
      </c>
      <c r="M28" s="128">
        <v>1</v>
      </c>
      <c r="N28" s="128" t="s">
        <v>59</v>
      </c>
      <c r="O28" s="128" t="s">
        <v>59</v>
      </c>
      <c r="P28" s="128" t="s">
        <v>59</v>
      </c>
      <c r="Q28" s="128" t="s">
        <v>59</v>
      </c>
      <c r="R28" s="128" t="s">
        <v>59</v>
      </c>
      <c r="S28" s="128" t="s">
        <v>59</v>
      </c>
      <c r="T28" s="128" t="s">
        <v>59</v>
      </c>
      <c r="U28" s="128" t="s">
        <v>59</v>
      </c>
      <c r="V28" s="128" t="s">
        <v>59</v>
      </c>
      <c r="W28" s="128" t="s">
        <v>59</v>
      </c>
      <c r="X28" s="128" t="s">
        <v>59</v>
      </c>
      <c r="Y28" s="128" t="s">
        <v>59</v>
      </c>
      <c r="Z28" s="162">
        <f>SUM(Tabla25[[#This Row],[2002]:[2024]])</f>
        <v>5</v>
      </c>
    </row>
    <row r="29" spans="2:26" ht="16.5" x14ac:dyDescent="0.25">
      <c r="B29" s="127" t="s">
        <v>29</v>
      </c>
      <c r="C29" s="131" t="s">
        <v>59</v>
      </c>
      <c r="D29" s="131" t="s">
        <v>59</v>
      </c>
      <c r="E29" s="131" t="s">
        <v>59</v>
      </c>
      <c r="F29" s="131" t="s">
        <v>59</v>
      </c>
      <c r="G29" s="131" t="s">
        <v>59</v>
      </c>
      <c r="H29" s="131" t="s">
        <v>59</v>
      </c>
      <c r="I29" s="131" t="s">
        <v>59</v>
      </c>
      <c r="J29" s="131" t="s">
        <v>59</v>
      </c>
      <c r="K29" s="131" t="s">
        <v>59</v>
      </c>
      <c r="L29" s="131" t="s">
        <v>59</v>
      </c>
      <c r="M29" s="131" t="s">
        <v>59</v>
      </c>
      <c r="N29" s="131" t="s">
        <v>59</v>
      </c>
      <c r="O29" s="131" t="s">
        <v>59</v>
      </c>
      <c r="P29" s="131" t="s">
        <v>59</v>
      </c>
      <c r="Q29" s="131" t="s">
        <v>59</v>
      </c>
      <c r="R29" s="131" t="s">
        <v>59</v>
      </c>
      <c r="S29" s="131" t="s">
        <v>59</v>
      </c>
      <c r="T29" s="131" t="s">
        <v>59</v>
      </c>
      <c r="U29" s="131" t="s">
        <v>59</v>
      </c>
      <c r="V29" s="131" t="s">
        <v>59</v>
      </c>
      <c r="W29" s="131">
        <v>2</v>
      </c>
      <c r="X29" s="131">
        <v>1</v>
      </c>
      <c r="Y29" s="131" t="s">
        <v>59</v>
      </c>
      <c r="Z29" s="162">
        <f>SUM(Tabla25[[#This Row],[2002]:[2024]])</f>
        <v>3</v>
      </c>
    </row>
    <row r="30" spans="2:26" x14ac:dyDescent="0.25">
      <c r="B30" s="127" t="s">
        <v>20</v>
      </c>
      <c r="C30" s="128" t="s">
        <v>59</v>
      </c>
      <c r="D30" s="128" t="s">
        <v>59</v>
      </c>
      <c r="E30" s="128" t="s">
        <v>59</v>
      </c>
      <c r="F30" s="128" t="s">
        <v>59</v>
      </c>
      <c r="G30" s="128" t="s">
        <v>59</v>
      </c>
      <c r="H30" s="128" t="s">
        <v>59</v>
      </c>
      <c r="I30" s="128" t="s">
        <v>59</v>
      </c>
      <c r="J30" s="128" t="s">
        <v>59</v>
      </c>
      <c r="K30" s="128" t="s">
        <v>59</v>
      </c>
      <c r="L30" s="128" t="s">
        <v>59</v>
      </c>
      <c r="M30" s="128" t="s">
        <v>59</v>
      </c>
      <c r="N30" s="128" t="s">
        <v>59</v>
      </c>
      <c r="O30" s="128" t="s">
        <v>59</v>
      </c>
      <c r="P30" s="128" t="s">
        <v>59</v>
      </c>
      <c r="Q30" s="128" t="s">
        <v>59</v>
      </c>
      <c r="R30" s="128" t="s">
        <v>59</v>
      </c>
      <c r="S30" s="128">
        <v>2</v>
      </c>
      <c r="T30" s="128" t="s">
        <v>59</v>
      </c>
      <c r="U30" s="128" t="s">
        <v>59</v>
      </c>
      <c r="V30" s="128" t="s">
        <v>59</v>
      </c>
      <c r="W30" s="128" t="s">
        <v>59</v>
      </c>
      <c r="X30" s="128">
        <v>1</v>
      </c>
      <c r="Y30" s="128" t="s">
        <v>59</v>
      </c>
      <c r="Z30" s="162">
        <f>SUM(Tabla25[[#This Row],[2002]:[2024]])</f>
        <v>3</v>
      </c>
    </row>
    <row r="31" spans="2:26" ht="16.5" x14ac:dyDescent="0.25">
      <c r="B31" s="127" t="s">
        <v>32</v>
      </c>
      <c r="C31" s="131" t="s">
        <v>59</v>
      </c>
      <c r="D31" s="131" t="s">
        <v>59</v>
      </c>
      <c r="E31" s="131" t="s">
        <v>59</v>
      </c>
      <c r="F31" s="131">
        <v>1</v>
      </c>
      <c r="G31" s="131" t="s">
        <v>59</v>
      </c>
      <c r="H31" s="131" t="s">
        <v>59</v>
      </c>
      <c r="I31" s="131" t="s">
        <v>59</v>
      </c>
      <c r="J31" s="131" t="s">
        <v>59</v>
      </c>
      <c r="K31" s="131" t="s">
        <v>59</v>
      </c>
      <c r="L31" s="131" t="s">
        <v>59</v>
      </c>
      <c r="M31" s="131">
        <v>1</v>
      </c>
      <c r="N31" s="131" t="s">
        <v>59</v>
      </c>
      <c r="O31" s="131" t="s">
        <v>59</v>
      </c>
      <c r="P31" s="131" t="s">
        <v>59</v>
      </c>
      <c r="Q31" s="131" t="s">
        <v>59</v>
      </c>
      <c r="R31" s="131" t="s">
        <v>59</v>
      </c>
      <c r="S31" s="131" t="s">
        <v>59</v>
      </c>
      <c r="T31" s="131" t="s">
        <v>59</v>
      </c>
      <c r="U31" s="131" t="s">
        <v>59</v>
      </c>
      <c r="V31" s="131" t="s">
        <v>59</v>
      </c>
      <c r="W31" s="131" t="s">
        <v>59</v>
      </c>
      <c r="X31" s="131" t="s">
        <v>59</v>
      </c>
      <c r="Y31" s="131" t="s">
        <v>59</v>
      </c>
      <c r="Z31" s="162">
        <f>SUM(Tabla25[[#This Row],[2002]:[2024]])</f>
        <v>2</v>
      </c>
    </row>
    <row r="32" spans="2:26" ht="24.75" x14ac:dyDescent="0.25">
      <c r="B32" s="127" t="s">
        <v>27</v>
      </c>
      <c r="C32" s="128" t="s">
        <v>59</v>
      </c>
      <c r="D32" s="128" t="s">
        <v>59</v>
      </c>
      <c r="E32" s="128" t="s">
        <v>59</v>
      </c>
      <c r="F32" s="128" t="s">
        <v>59</v>
      </c>
      <c r="G32" s="128" t="s">
        <v>59</v>
      </c>
      <c r="H32" s="128" t="s">
        <v>59</v>
      </c>
      <c r="I32" s="128" t="s">
        <v>59</v>
      </c>
      <c r="J32" s="128" t="s">
        <v>59</v>
      </c>
      <c r="K32" s="128" t="s">
        <v>59</v>
      </c>
      <c r="L32" s="128" t="s">
        <v>59</v>
      </c>
      <c r="M32" s="128" t="s">
        <v>59</v>
      </c>
      <c r="N32" s="128" t="s">
        <v>59</v>
      </c>
      <c r="O32" s="128" t="s">
        <v>59</v>
      </c>
      <c r="P32" s="128">
        <v>1</v>
      </c>
      <c r="Q32" s="128" t="s">
        <v>59</v>
      </c>
      <c r="R32" s="128" t="s">
        <v>59</v>
      </c>
      <c r="S32" s="128" t="s">
        <v>59</v>
      </c>
      <c r="T32" s="128" t="s">
        <v>59</v>
      </c>
      <c r="U32" s="128" t="s">
        <v>59</v>
      </c>
      <c r="V32" s="128" t="s">
        <v>59</v>
      </c>
      <c r="W32" s="128" t="s">
        <v>59</v>
      </c>
      <c r="X32" s="128" t="s">
        <v>59</v>
      </c>
      <c r="Y32" s="128" t="s">
        <v>59</v>
      </c>
      <c r="Z32" s="162">
        <f>SUM(Tabla25[[#This Row],[2002]:[2024]])</f>
        <v>1</v>
      </c>
    </row>
    <row r="33" spans="2:26" ht="16.5" x14ac:dyDescent="0.25">
      <c r="B33" s="127" t="s">
        <v>33</v>
      </c>
      <c r="C33" s="131" t="s">
        <v>59</v>
      </c>
      <c r="D33" s="131">
        <v>1</v>
      </c>
      <c r="E33" s="131" t="s">
        <v>59</v>
      </c>
      <c r="F33" s="131" t="s">
        <v>59</v>
      </c>
      <c r="G33" s="131" t="s">
        <v>59</v>
      </c>
      <c r="H33" s="131" t="s">
        <v>59</v>
      </c>
      <c r="I33" s="131" t="s">
        <v>59</v>
      </c>
      <c r="J33" s="131" t="s">
        <v>59</v>
      </c>
      <c r="K33" s="131" t="s">
        <v>59</v>
      </c>
      <c r="L33" s="131" t="s">
        <v>59</v>
      </c>
      <c r="M33" s="131" t="s">
        <v>59</v>
      </c>
      <c r="N33" s="131" t="s">
        <v>59</v>
      </c>
      <c r="O33" s="131" t="s">
        <v>59</v>
      </c>
      <c r="P33" s="131" t="s">
        <v>59</v>
      </c>
      <c r="Q33" s="131" t="s">
        <v>59</v>
      </c>
      <c r="R33" s="131" t="s">
        <v>59</v>
      </c>
      <c r="S33" s="131" t="s">
        <v>59</v>
      </c>
      <c r="T33" s="131" t="s">
        <v>59</v>
      </c>
      <c r="U33" s="131" t="s">
        <v>59</v>
      </c>
      <c r="V33" s="131" t="s">
        <v>59</v>
      </c>
      <c r="W33" s="131" t="s">
        <v>59</v>
      </c>
      <c r="X33" s="131" t="s">
        <v>59</v>
      </c>
      <c r="Y33" s="131" t="s">
        <v>59</v>
      </c>
      <c r="Z33" s="162">
        <f>SUM(Tabla25[[#This Row],[2002]:[2024]])</f>
        <v>1</v>
      </c>
    </row>
    <row r="34" spans="2:26" x14ac:dyDescent="0.25">
      <c r="B34" s="127" t="s">
        <v>34</v>
      </c>
      <c r="C34" s="136">
        <f>SUBTOTAL(109,C4:C33)</f>
        <v>20</v>
      </c>
      <c r="D34" s="136">
        <f t="shared" ref="D34:Y34" si="0">SUBTOTAL(109,D4:D33)</f>
        <v>19</v>
      </c>
      <c r="E34" s="136">
        <f t="shared" si="0"/>
        <v>19</v>
      </c>
      <c r="F34" s="136">
        <f t="shared" si="0"/>
        <v>15</v>
      </c>
      <c r="G34" s="136">
        <f t="shared" si="0"/>
        <v>27</v>
      </c>
      <c r="H34" s="136">
        <f t="shared" si="0"/>
        <v>77</v>
      </c>
      <c r="I34" s="136">
        <f t="shared" si="0"/>
        <v>76</v>
      </c>
      <c r="J34" s="136">
        <f t="shared" si="0"/>
        <v>67</v>
      </c>
      <c r="K34" s="136">
        <f t="shared" si="0"/>
        <v>100</v>
      </c>
      <c r="L34" s="136">
        <f t="shared" si="0"/>
        <v>110</v>
      </c>
      <c r="M34" s="136">
        <f t="shared" si="0"/>
        <v>86</v>
      </c>
      <c r="N34" s="136">
        <f t="shared" si="0"/>
        <v>57</v>
      </c>
      <c r="O34" s="136">
        <f t="shared" si="0"/>
        <v>76</v>
      </c>
      <c r="P34" s="136">
        <f t="shared" si="0"/>
        <v>75</v>
      </c>
      <c r="Q34" s="136">
        <f t="shared" si="0"/>
        <v>196</v>
      </c>
      <c r="R34" s="136">
        <f t="shared" si="0"/>
        <v>143</v>
      </c>
      <c r="S34" s="136">
        <f t="shared" si="0"/>
        <v>206</v>
      </c>
      <c r="T34" s="136">
        <f t="shared" si="0"/>
        <v>116</v>
      </c>
      <c r="U34" s="136">
        <f t="shared" si="0"/>
        <v>123</v>
      </c>
      <c r="V34" s="136">
        <f t="shared" si="0"/>
        <v>115</v>
      </c>
      <c r="W34" s="136">
        <f t="shared" si="0"/>
        <v>176</v>
      </c>
      <c r="X34" s="136">
        <f t="shared" si="0"/>
        <v>207</v>
      </c>
      <c r="Y34" s="136">
        <f t="shared" si="0"/>
        <v>278</v>
      </c>
      <c r="Z34" s="162">
        <f>SUM(Tabla25[[#This Row],[2002]:[2024]])</f>
        <v>2384</v>
      </c>
    </row>
  </sheetData>
  <mergeCells count="3">
    <mergeCell ref="B2:B3"/>
    <mergeCell ref="C2:V2"/>
    <mergeCell ref="Z2:Z3"/>
  </mergeCell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747A-524D-4E93-B605-EC6CDD502BF5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F55A-A753-42AC-81F9-0A091B36412C}">
  <dimension ref="B2:F26"/>
  <sheetViews>
    <sheetView workbookViewId="0">
      <selection activeCell="B2" sqref="B2:F26"/>
    </sheetView>
  </sheetViews>
  <sheetFormatPr baseColWidth="10" defaultRowHeight="15" x14ac:dyDescent="0.25"/>
  <sheetData>
    <row r="2" spans="2:6" ht="60" x14ac:dyDescent="0.25">
      <c r="B2" s="84" t="s">
        <v>60</v>
      </c>
      <c r="C2" s="85" t="s">
        <v>78</v>
      </c>
      <c r="D2" s="85" t="s">
        <v>79</v>
      </c>
      <c r="E2" s="85" t="s">
        <v>80</v>
      </c>
      <c r="F2" s="86" t="s">
        <v>34</v>
      </c>
    </row>
    <row r="3" spans="2:6" x14ac:dyDescent="0.25">
      <c r="B3" s="87" t="s">
        <v>36</v>
      </c>
      <c r="C3" s="88">
        <v>0</v>
      </c>
      <c r="D3" s="88">
        <v>0</v>
      </c>
      <c r="E3" s="114">
        <v>336</v>
      </c>
      <c r="F3" s="115">
        <f>SUM(Tabla28[[#This Row],[En proceso 
de Notificación]:[Concluidas]])</f>
        <v>336</v>
      </c>
    </row>
    <row r="4" spans="2:6" x14ac:dyDescent="0.25">
      <c r="B4" s="87" t="s">
        <v>37</v>
      </c>
      <c r="C4" s="91">
        <v>0</v>
      </c>
      <c r="D4" s="91">
        <v>0</v>
      </c>
      <c r="E4" s="116">
        <v>540</v>
      </c>
      <c r="F4" s="115">
        <f>SUM(Tabla28[[#This Row],[En proceso 
de Notificación]:[Concluidas]])</f>
        <v>540</v>
      </c>
    </row>
    <row r="5" spans="2:6" x14ac:dyDescent="0.25">
      <c r="B5" s="87" t="s">
        <v>38</v>
      </c>
      <c r="C5" s="88">
        <v>0</v>
      </c>
      <c r="D5" s="88">
        <v>0</v>
      </c>
      <c r="E5" s="114">
        <v>221</v>
      </c>
      <c r="F5" s="115">
        <f>SUM(Tabla28[[#This Row],[En proceso 
de Notificación]:[Concluidas]])</f>
        <v>221</v>
      </c>
    </row>
    <row r="6" spans="2:6" x14ac:dyDescent="0.25">
      <c r="B6" s="87" t="s">
        <v>39</v>
      </c>
      <c r="C6" s="91">
        <v>0</v>
      </c>
      <c r="D6" s="91">
        <v>0</v>
      </c>
      <c r="E6" s="116">
        <v>144</v>
      </c>
      <c r="F6" s="115">
        <f>SUM(Tabla28[[#This Row],[En proceso 
de Notificación]:[Concluidas]])</f>
        <v>144</v>
      </c>
    </row>
    <row r="7" spans="2:6" x14ac:dyDescent="0.25">
      <c r="B7" s="87" t="s">
        <v>40</v>
      </c>
      <c r="C7" s="91">
        <v>0</v>
      </c>
      <c r="D7" s="91">
        <v>0</v>
      </c>
      <c r="E7" s="116">
        <v>357</v>
      </c>
      <c r="F7" s="115">
        <f>SUM(Tabla28[[#This Row],[En proceso 
de Notificación]:[Concluidas]])</f>
        <v>357</v>
      </c>
    </row>
    <row r="8" spans="2:6" x14ac:dyDescent="0.25">
      <c r="B8" s="87" t="s">
        <v>41</v>
      </c>
      <c r="C8" s="91">
        <v>0</v>
      </c>
      <c r="D8" s="91">
        <v>0</v>
      </c>
      <c r="E8" s="116">
        <v>384</v>
      </c>
      <c r="F8" s="115">
        <f>SUM(Tabla28[[#This Row],[En proceso 
de Notificación]:[Concluidas]])</f>
        <v>384</v>
      </c>
    </row>
    <row r="9" spans="2:6" x14ac:dyDescent="0.25">
      <c r="B9" s="87" t="s">
        <v>42</v>
      </c>
      <c r="C9" s="88">
        <v>0</v>
      </c>
      <c r="D9" s="88">
        <v>0</v>
      </c>
      <c r="E9" s="114">
        <v>211</v>
      </c>
      <c r="F9" s="115">
        <f>SUM(Tabla28[[#This Row],[En proceso 
de Notificación]:[Concluidas]])</f>
        <v>211</v>
      </c>
    </row>
    <row r="10" spans="2:6" x14ac:dyDescent="0.25">
      <c r="B10" s="87" t="s">
        <v>43</v>
      </c>
      <c r="C10" s="91">
        <v>0</v>
      </c>
      <c r="D10" s="91">
        <v>0</v>
      </c>
      <c r="E10" s="116">
        <v>382</v>
      </c>
      <c r="F10" s="115">
        <f>SUM(Tabla28[[#This Row],[En proceso 
de Notificación]:[Concluidas]])</f>
        <v>382</v>
      </c>
    </row>
    <row r="11" spans="2:6" x14ac:dyDescent="0.25">
      <c r="B11" s="87" t="s">
        <v>44</v>
      </c>
      <c r="C11" s="88">
        <v>0</v>
      </c>
      <c r="D11" s="88">
        <v>0</v>
      </c>
      <c r="E11" s="114">
        <v>439</v>
      </c>
      <c r="F11" s="115">
        <f>SUM(Tabla28[[#This Row],[En proceso 
de Notificación]:[Concluidas]])</f>
        <v>439</v>
      </c>
    </row>
    <row r="12" spans="2:6" x14ac:dyDescent="0.25">
      <c r="B12" s="87" t="s">
        <v>45</v>
      </c>
      <c r="C12" s="91">
        <v>0</v>
      </c>
      <c r="D12" s="91">
        <v>0</v>
      </c>
      <c r="E12" s="116">
        <v>409</v>
      </c>
      <c r="F12" s="115">
        <f>SUM(Tabla28[[#This Row],[En proceso 
de Notificación]:[Concluidas]])</f>
        <v>409</v>
      </c>
    </row>
    <row r="13" spans="2:6" x14ac:dyDescent="0.25">
      <c r="B13" s="87" t="s">
        <v>46</v>
      </c>
      <c r="C13" s="88">
        <v>0</v>
      </c>
      <c r="D13" s="88">
        <v>0</v>
      </c>
      <c r="E13" s="114">
        <v>591</v>
      </c>
      <c r="F13" s="115">
        <f>SUM(Tabla28[[#This Row],[En proceso 
de Notificación]:[Concluidas]])</f>
        <v>591</v>
      </c>
    </row>
    <row r="14" spans="2:6" x14ac:dyDescent="0.25">
      <c r="B14" s="87" t="s">
        <v>47</v>
      </c>
      <c r="C14" s="91">
        <v>0</v>
      </c>
      <c r="D14" s="91">
        <v>0</v>
      </c>
      <c r="E14" s="116">
        <v>783</v>
      </c>
      <c r="F14" s="115">
        <f>SUM(Tabla28[[#This Row],[En proceso 
de Notificación]:[Concluidas]])</f>
        <v>783</v>
      </c>
    </row>
    <row r="15" spans="2:6" x14ac:dyDescent="0.25">
      <c r="B15" s="87" t="s">
        <v>48</v>
      </c>
      <c r="C15" s="88">
        <v>0</v>
      </c>
      <c r="D15" s="88">
        <v>0</v>
      </c>
      <c r="E15" s="114">
        <v>1208</v>
      </c>
      <c r="F15" s="115">
        <f>SUM(Tabla28[[#This Row],[En proceso 
de Notificación]:[Concluidas]])</f>
        <v>1208</v>
      </c>
    </row>
    <row r="16" spans="2:6" x14ac:dyDescent="0.25">
      <c r="B16" s="87" t="s">
        <v>49</v>
      </c>
      <c r="C16" s="91">
        <v>0</v>
      </c>
      <c r="D16" s="91">
        <v>0</v>
      </c>
      <c r="E16" s="116">
        <v>377</v>
      </c>
      <c r="F16" s="115">
        <f>SUM(Tabla28[[#This Row],[En proceso 
de Notificación]:[Concluidas]])</f>
        <v>377</v>
      </c>
    </row>
    <row r="17" spans="2:6" x14ac:dyDescent="0.25">
      <c r="B17" s="87" t="s">
        <v>50</v>
      </c>
      <c r="C17" s="88">
        <v>0</v>
      </c>
      <c r="D17" s="88">
        <v>0</v>
      </c>
      <c r="E17" s="114">
        <v>643</v>
      </c>
      <c r="F17" s="115">
        <f>SUM(Tabla28[[#This Row],[En proceso 
de Notificación]:[Concluidas]])</f>
        <v>643</v>
      </c>
    </row>
    <row r="18" spans="2:6" x14ac:dyDescent="0.25">
      <c r="B18" s="87" t="s">
        <v>51</v>
      </c>
      <c r="C18" s="91">
        <v>0</v>
      </c>
      <c r="D18" s="91">
        <v>0</v>
      </c>
      <c r="E18" s="116">
        <v>204</v>
      </c>
      <c r="F18" s="115">
        <f>SUM(Tabla28[[#This Row],[En proceso 
de Notificación]:[Concluidas]])</f>
        <v>204</v>
      </c>
    </row>
    <row r="19" spans="2:6" x14ac:dyDescent="0.25">
      <c r="B19" s="87" t="s">
        <v>52</v>
      </c>
      <c r="C19" s="88">
        <v>0</v>
      </c>
      <c r="D19" s="88">
        <v>0</v>
      </c>
      <c r="E19" s="114">
        <v>147</v>
      </c>
      <c r="F19" s="115">
        <f>SUM(Tabla28[[#This Row],[En proceso 
de Notificación]:[Concluidas]])</f>
        <v>147</v>
      </c>
    </row>
    <row r="20" spans="2:6" x14ac:dyDescent="0.25">
      <c r="B20" s="87" t="s">
        <v>53</v>
      </c>
      <c r="C20" s="91">
        <v>0</v>
      </c>
      <c r="D20" s="91">
        <v>0</v>
      </c>
      <c r="E20" s="116">
        <v>194</v>
      </c>
      <c r="F20" s="115">
        <f>SUM(Tabla28[[#This Row],[En proceso 
de Notificación]:[Concluidas]])</f>
        <v>194</v>
      </c>
    </row>
    <row r="21" spans="2:6" x14ac:dyDescent="0.25">
      <c r="B21" s="87" t="s">
        <v>54</v>
      </c>
      <c r="C21" s="88">
        <v>0</v>
      </c>
      <c r="D21" s="88">
        <v>0</v>
      </c>
      <c r="E21" s="114">
        <v>204</v>
      </c>
      <c r="F21" s="115">
        <f>SUM(Tabla28[[#This Row],[En proceso 
de Notificación]:[Concluidas]])</f>
        <v>204</v>
      </c>
    </row>
    <row r="22" spans="2:6" x14ac:dyDescent="0.25">
      <c r="B22" s="87" t="s">
        <v>55</v>
      </c>
      <c r="C22" s="91">
        <v>0</v>
      </c>
      <c r="D22" s="91">
        <v>0</v>
      </c>
      <c r="E22" s="116">
        <v>181</v>
      </c>
      <c r="F22" s="115">
        <f>SUM(Tabla28[[#This Row],[En proceso 
de Notificación]:[Concluidas]])</f>
        <v>181</v>
      </c>
    </row>
    <row r="23" spans="2:6" x14ac:dyDescent="0.25">
      <c r="B23" s="87" t="s">
        <v>56</v>
      </c>
      <c r="C23" s="88">
        <v>0</v>
      </c>
      <c r="D23" s="88">
        <v>0</v>
      </c>
      <c r="E23" s="114">
        <v>111</v>
      </c>
      <c r="F23" s="115">
        <f>SUM(Tabla28[[#This Row],[En proceso 
de Notificación]:[Concluidas]])</f>
        <v>111</v>
      </c>
    </row>
    <row r="24" spans="2:6" x14ac:dyDescent="0.25">
      <c r="B24" s="87" t="s">
        <v>57</v>
      </c>
      <c r="C24" s="91">
        <v>0</v>
      </c>
      <c r="D24" s="91">
        <v>0</v>
      </c>
      <c r="E24" s="116">
        <v>408</v>
      </c>
      <c r="F24" s="115">
        <f>SUM(Tabla28[[#This Row],[En proceso 
de Notificación]:[Concluidas]])</f>
        <v>408</v>
      </c>
    </row>
    <row r="25" spans="2:6" x14ac:dyDescent="0.25">
      <c r="B25" s="87" t="s">
        <v>58</v>
      </c>
      <c r="C25" s="88">
        <v>91</v>
      </c>
      <c r="D25" s="88">
        <v>83</v>
      </c>
      <c r="E25" s="114">
        <v>0</v>
      </c>
      <c r="F25" s="115">
        <f>SUM(Tabla28[[#This Row],[En proceso 
de Notificación]:[Concluidas]])</f>
        <v>174</v>
      </c>
    </row>
    <row r="26" spans="2:6" x14ac:dyDescent="0.25">
      <c r="B26" s="93" t="s">
        <v>34</v>
      </c>
      <c r="C26" s="94">
        <f>SUBTOTAL(109,C3:C25)</f>
        <v>91</v>
      </c>
      <c r="D26" s="94">
        <f>SUBTOTAL(109,D3:D25)</f>
        <v>83</v>
      </c>
      <c r="E26" s="119">
        <f>SUBTOTAL(109,E3:E24)</f>
        <v>8474</v>
      </c>
      <c r="F26" s="115">
        <f>SUM(Tabla28[[#This Row],[En proceso 
de Notificación]:[Concluidas]])</f>
        <v>8648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5BBA-1F1D-43C2-B56D-CD43B4526407}">
  <dimension ref="B3:Z35"/>
  <sheetViews>
    <sheetView workbookViewId="0">
      <selection activeCell="B3" sqref="B3:Z35"/>
    </sheetView>
  </sheetViews>
  <sheetFormatPr baseColWidth="10" defaultRowHeight="15" x14ac:dyDescent="0.25"/>
  <sheetData>
    <row r="3" spans="2:26" x14ac:dyDescent="0.25">
      <c r="B3" s="166" t="s">
        <v>0</v>
      </c>
      <c r="C3" s="167" t="s">
        <v>35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8"/>
      <c r="X3" s="168"/>
      <c r="Y3" s="168"/>
      <c r="Z3" s="169" t="s">
        <v>34</v>
      </c>
    </row>
    <row r="4" spans="2:26" x14ac:dyDescent="0.25">
      <c r="B4" s="166"/>
      <c r="C4" s="170" t="s">
        <v>36</v>
      </c>
      <c r="D4" s="170" t="s">
        <v>37</v>
      </c>
      <c r="E4" s="170" t="s">
        <v>38</v>
      </c>
      <c r="F4" s="170" t="s">
        <v>39</v>
      </c>
      <c r="G4" s="170" t="s">
        <v>40</v>
      </c>
      <c r="H4" s="170" t="s">
        <v>41</v>
      </c>
      <c r="I4" s="170" t="s">
        <v>42</v>
      </c>
      <c r="J4" s="170" t="s">
        <v>43</v>
      </c>
      <c r="K4" s="170" t="s">
        <v>44</v>
      </c>
      <c r="L4" s="170" t="s">
        <v>45</v>
      </c>
      <c r="M4" s="170" t="s">
        <v>46</v>
      </c>
      <c r="N4" s="170" t="s">
        <v>47</v>
      </c>
      <c r="O4" s="170" t="s">
        <v>48</v>
      </c>
      <c r="P4" s="170" t="s">
        <v>49</v>
      </c>
      <c r="Q4" s="170" t="s">
        <v>50</v>
      </c>
      <c r="R4" s="170" t="s">
        <v>51</v>
      </c>
      <c r="S4" s="170" t="s">
        <v>52</v>
      </c>
      <c r="T4" s="170" t="s">
        <v>53</v>
      </c>
      <c r="U4" s="170" t="s">
        <v>54</v>
      </c>
      <c r="V4" s="170" t="s">
        <v>55</v>
      </c>
      <c r="W4" s="171" t="s">
        <v>56</v>
      </c>
      <c r="X4" s="171" t="s">
        <v>57</v>
      </c>
      <c r="Y4" s="171" t="s">
        <v>58</v>
      </c>
      <c r="Z4" s="169"/>
    </row>
    <row r="5" spans="2:26" ht="24.75" x14ac:dyDescent="0.25">
      <c r="B5" s="172" t="s">
        <v>4</v>
      </c>
      <c r="C5" s="173">
        <v>39</v>
      </c>
      <c r="D5" s="173">
        <v>148</v>
      </c>
      <c r="E5" s="173">
        <v>38</v>
      </c>
      <c r="F5" s="173">
        <v>30</v>
      </c>
      <c r="G5" s="173">
        <v>26</v>
      </c>
      <c r="H5" s="173">
        <v>56</v>
      </c>
      <c r="I5" s="173">
        <v>17</v>
      </c>
      <c r="J5" s="173">
        <v>48</v>
      </c>
      <c r="K5" s="173">
        <v>18</v>
      </c>
      <c r="L5" s="173">
        <v>37</v>
      </c>
      <c r="M5" s="173">
        <v>257</v>
      </c>
      <c r="N5" s="173">
        <v>332</v>
      </c>
      <c r="O5" s="173">
        <v>825</v>
      </c>
      <c r="P5" s="173">
        <v>203</v>
      </c>
      <c r="Q5" s="173">
        <v>270</v>
      </c>
      <c r="R5" s="173">
        <v>124</v>
      </c>
      <c r="S5" s="173">
        <v>134</v>
      </c>
      <c r="T5" s="173">
        <v>160</v>
      </c>
      <c r="U5" s="173">
        <v>153</v>
      </c>
      <c r="V5" s="173">
        <v>149</v>
      </c>
      <c r="W5" s="174">
        <v>101</v>
      </c>
      <c r="X5" s="174">
        <v>392</v>
      </c>
      <c r="Y5" s="174">
        <v>174</v>
      </c>
      <c r="Z5" s="175">
        <f>SUM(Tabla40[[#This Row],[2002]:[2024]])</f>
        <v>3731</v>
      </c>
    </row>
    <row r="6" spans="2:26" ht="41.25" x14ac:dyDescent="0.25">
      <c r="B6" s="172" t="s">
        <v>8</v>
      </c>
      <c r="C6" s="176">
        <v>62</v>
      </c>
      <c r="D6" s="176">
        <v>36</v>
      </c>
      <c r="E6" s="176">
        <v>30</v>
      </c>
      <c r="F6" s="176">
        <v>8</v>
      </c>
      <c r="G6" s="176">
        <v>65</v>
      </c>
      <c r="H6" s="176">
        <v>52</v>
      </c>
      <c r="I6" s="176">
        <v>13</v>
      </c>
      <c r="J6" s="176">
        <v>52</v>
      </c>
      <c r="K6" s="176">
        <v>62</v>
      </c>
      <c r="L6" s="176">
        <v>64</v>
      </c>
      <c r="M6" s="176">
        <v>166</v>
      </c>
      <c r="N6" s="176">
        <v>273</v>
      </c>
      <c r="O6" s="176">
        <v>221</v>
      </c>
      <c r="P6" s="176">
        <v>85</v>
      </c>
      <c r="Q6" s="176">
        <v>204</v>
      </c>
      <c r="R6" s="176">
        <v>42</v>
      </c>
      <c r="S6" s="176">
        <v>4</v>
      </c>
      <c r="T6" s="176">
        <v>3</v>
      </c>
      <c r="U6" s="176">
        <v>1</v>
      </c>
      <c r="V6" s="176">
        <v>4</v>
      </c>
      <c r="W6" s="176" t="s">
        <v>59</v>
      </c>
      <c r="X6" s="176" t="s">
        <v>59</v>
      </c>
      <c r="Y6" s="176" t="s">
        <v>59</v>
      </c>
      <c r="Z6" s="175">
        <f>SUM(Tabla40[[#This Row],[2002]:[2024]])</f>
        <v>1447</v>
      </c>
    </row>
    <row r="7" spans="2:26" ht="24.75" x14ac:dyDescent="0.25">
      <c r="B7" s="172" t="s">
        <v>6</v>
      </c>
      <c r="C7" s="173">
        <v>64</v>
      </c>
      <c r="D7" s="173">
        <v>74</v>
      </c>
      <c r="E7" s="173">
        <v>38</v>
      </c>
      <c r="F7" s="173">
        <v>19</v>
      </c>
      <c r="G7" s="173">
        <v>35</v>
      </c>
      <c r="H7" s="173">
        <v>61</v>
      </c>
      <c r="I7" s="173">
        <v>7</v>
      </c>
      <c r="J7" s="173">
        <v>73</v>
      </c>
      <c r="K7" s="173">
        <v>46</v>
      </c>
      <c r="L7" s="173">
        <v>70</v>
      </c>
      <c r="M7" s="173">
        <v>71</v>
      </c>
      <c r="N7" s="173">
        <v>33</v>
      </c>
      <c r="O7" s="173">
        <v>31</v>
      </c>
      <c r="P7" s="173">
        <v>37</v>
      </c>
      <c r="Q7" s="173">
        <v>27</v>
      </c>
      <c r="R7" s="173" t="s">
        <v>59</v>
      </c>
      <c r="S7" s="173">
        <v>1</v>
      </c>
      <c r="T7" s="173">
        <v>3</v>
      </c>
      <c r="U7" s="173">
        <v>5</v>
      </c>
      <c r="V7" s="173">
        <v>1</v>
      </c>
      <c r="W7" s="173" t="s">
        <v>59</v>
      </c>
      <c r="X7" s="173">
        <v>2</v>
      </c>
      <c r="Y7" s="173" t="s">
        <v>59</v>
      </c>
      <c r="Z7" s="175">
        <f>SUM(Tabla40[[#This Row],[2002]:[2024]])</f>
        <v>698</v>
      </c>
    </row>
    <row r="8" spans="2:26" ht="33" x14ac:dyDescent="0.25">
      <c r="B8" s="172" t="s">
        <v>13</v>
      </c>
      <c r="C8" s="176">
        <v>4</v>
      </c>
      <c r="D8" s="176">
        <v>13</v>
      </c>
      <c r="E8" s="176">
        <v>1</v>
      </c>
      <c r="F8" s="176">
        <v>19</v>
      </c>
      <c r="G8" s="176">
        <v>32</v>
      </c>
      <c r="H8" s="176">
        <v>68</v>
      </c>
      <c r="I8" s="176">
        <v>70</v>
      </c>
      <c r="J8" s="176">
        <v>33</v>
      </c>
      <c r="K8" s="176">
        <v>64</v>
      </c>
      <c r="L8" s="176">
        <v>61</v>
      </c>
      <c r="M8" s="176" t="s">
        <v>59</v>
      </c>
      <c r="N8" s="176">
        <v>3</v>
      </c>
      <c r="O8" s="176">
        <v>2</v>
      </c>
      <c r="P8" s="176">
        <v>6</v>
      </c>
      <c r="Q8" s="176">
        <v>6</v>
      </c>
      <c r="R8" s="176" t="s">
        <v>59</v>
      </c>
      <c r="S8" s="176" t="s">
        <v>59</v>
      </c>
      <c r="T8" s="176">
        <v>7</v>
      </c>
      <c r="U8" s="176">
        <v>8</v>
      </c>
      <c r="V8" s="176">
        <v>5</v>
      </c>
      <c r="W8" s="176" t="s">
        <v>59</v>
      </c>
      <c r="X8" s="176" t="s">
        <v>59</v>
      </c>
      <c r="Y8" s="176" t="s">
        <v>59</v>
      </c>
      <c r="Z8" s="175">
        <f>SUM(Tabla40[[#This Row],[2002]:[2024]])</f>
        <v>402</v>
      </c>
    </row>
    <row r="9" spans="2:26" ht="24.75" x14ac:dyDescent="0.25">
      <c r="B9" s="172" t="s">
        <v>5</v>
      </c>
      <c r="C9" s="173">
        <v>10</v>
      </c>
      <c r="D9" s="173">
        <v>120</v>
      </c>
      <c r="E9" s="173">
        <v>13</v>
      </c>
      <c r="F9" s="173">
        <v>8</v>
      </c>
      <c r="G9" s="173">
        <v>29</v>
      </c>
      <c r="H9" s="173">
        <v>30</v>
      </c>
      <c r="I9" s="173">
        <v>21</v>
      </c>
      <c r="J9" s="173">
        <v>30</v>
      </c>
      <c r="K9" s="173">
        <v>15</v>
      </c>
      <c r="L9" s="173">
        <v>4</v>
      </c>
      <c r="M9" s="173" t="s">
        <v>59</v>
      </c>
      <c r="N9" s="173" t="s">
        <v>59</v>
      </c>
      <c r="O9" s="173" t="s">
        <v>59</v>
      </c>
      <c r="P9" s="173" t="s">
        <v>59</v>
      </c>
      <c r="Q9" s="173">
        <v>3</v>
      </c>
      <c r="R9" s="173" t="s">
        <v>59</v>
      </c>
      <c r="S9" s="173">
        <v>3</v>
      </c>
      <c r="T9" s="173" t="s">
        <v>59</v>
      </c>
      <c r="U9" s="173">
        <v>1</v>
      </c>
      <c r="V9" s="173" t="s">
        <v>59</v>
      </c>
      <c r="W9" s="173" t="s">
        <v>59</v>
      </c>
      <c r="X9" s="173" t="s">
        <v>59</v>
      </c>
      <c r="Y9" s="173" t="s">
        <v>59</v>
      </c>
      <c r="Z9" s="175">
        <f>SUM(Tabla40[[#This Row],[2002]:[2024]])</f>
        <v>287</v>
      </c>
    </row>
    <row r="10" spans="2:26" ht="16.5" x14ac:dyDescent="0.25">
      <c r="B10" s="172" t="s">
        <v>10</v>
      </c>
      <c r="C10" s="176">
        <v>12</v>
      </c>
      <c r="D10" s="176">
        <v>12</v>
      </c>
      <c r="E10" s="176">
        <v>10</v>
      </c>
      <c r="F10" s="176">
        <v>9</v>
      </c>
      <c r="G10" s="176">
        <v>37</v>
      </c>
      <c r="H10" s="176">
        <v>17</v>
      </c>
      <c r="I10" s="176">
        <v>25</v>
      </c>
      <c r="J10" s="176">
        <v>24</v>
      </c>
      <c r="K10" s="176">
        <v>46</v>
      </c>
      <c r="L10" s="176">
        <v>22</v>
      </c>
      <c r="M10" s="176">
        <v>5</v>
      </c>
      <c r="N10" s="176">
        <v>5</v>
      </c>
      <c r="O10" s="176">
        <v>2</v>
      </c>
      <c r="P10" s="176" t="s">
        <v>59</v>
      </c>
      <c r="Q10" s="176">
        <v>2</v>
      </c>
      <c r="R10" s="176" t="s">
        <v>59</v>
      </c>
      <c r="S10" s="176" t="s">
        <v>59</v>
      </c>
      <c r="T10" s="176" t="s">
        <v>59</v>
      </c>
      <c r="U10" s="176">
        <v>1</v>
      </c>
      <c r="V10" s="176" t="s">
        <v>59</v>
      </c>
      <c r="W10" s="176" t="s">
        <v>59</v>
      </c>
      <c r="X10" s="176" t="s">
        <v>59</v>
      </c>
      <c r="Y10" s="176" t="s">
        <v>59</v>
      </c>
      <c r="Z10" s="175">
        <f>SUM(Tabla40[[#This Row],[2002]:[2024]])</f>
        <v>229</v>
      </c>
    </row>
    <row r="11" spans="2:26" ht="41.25" x14ac:dyDescent="0.25">
      <c r="B11" s="172" t="s">
        <v>7</v>
      </c>
      <c r="C11" s="173">
        <v>1</v>
      </c>
      <c r="D11" s="173">
        <v>17</v>
      </c>
      <c r="E11" s="173">
        <v>17</v>
      </c>
      <c r="F11" s="173">
        <v>9</v>
      </c>
      <c r="G11" s="173">
        <v>17</v>
      </c>
      <c r="H11" s="173">
        <v>15</v>
      </c>
      <c r="I11" s="173">
        <v>3</v>
      </c>
      <c r="J11" s="173">
        <v>7</v>
      </c>
      <c r="K11" s="173">
        <v>8</v>
      </c>
      <c r="L11" s="173">
        <v>2</v>
      </c>
      <c r="M11" s="173">
        <v>15</v>
      </c>
      <c r="N11" s="173">
        <v>33</v>
      </c>
      <c r="O11" s="173">
        <v>69</v>
      </c>
      <c r="P11" s="173" t="s">
        <v>59</v>
      </c>
      <c r="Q11" s="173" t="s">
        <v>59</v>
      </c>
      <c r="R11" s="173" t="s">
        <v>59</v>
      </c>
      <c r="S11" s="173">
        <v>3</v>
      </c>
      <c r="T11" s="173">
        <v>3</v>
      </c>
      <c r="U11" s="173">
        <v>4</v>
      </c>
      <c r="V11" s="173">
        <v>4</v>
      </c>
      <c r="W11" s="173">
        <v>1</v>
      </c>
      <c r="X11" s="173" t="s">
        <v>59</v>
      </c>
      <c r="Y11" s="173" t="s">
        <v>59</v>
      </c>
      <c r="Z11" s="175">
        <f>SUM(Tabla40[[#This Row],[2002]:[2024]])</f>
        <v>228</v>
      </c>
    </row>
    <row r="12" spans="2:26" ht="41.25" x14ac:dyDescent="0.25">
      <c r="B12" s="172" t="s">
        <v>9</v>
      </c>
      <c r="C12" s="176">
        <v>44</v>
      </c>
      <c r="D12" s="176">
        <v>41</v>
      </c>
      <c r="E12" s="176">
        <v>20</v>
      </c>
      <c r="F12" s="176">
        <v>5</v>
      </c>
      <c r="G12" s="176">
        <v>11</v>
      </c>
      <c r="H12" s="176">
        <v>6</v>
      </c>
      <c r="I12" s="176" t="s">
        <v>59</v>
      </c>
      <c r="J12" s="176">
        <v>12</v>
      </c>
      <c r="K12" s="176">
        <v>12</v>
      </c>
      <c r="L12" s="176">
        <v>1</v>
      </c>
      <c r="M12" s="176">
        <v>23</v>
      </c>
      <c r="N12" s="176" t="s">
        <v>59</v>
      </c>
      <c r="O12" s="176">
        <v>15</v>
      </c>
      <c r="P12" s="176">
        <v>1</v>
      </c>
      <c r="Q12" s="176">
        <v>20</v>
      </c>
      <c r="R12" s="176">
        <v>5</v>
      </c>
      <c r="S12" s="176">
        <v>1</v>
      </c>
      <c r="T12" s="176">
        <v>1</v>
      </c>
      <c r="U12" s="176">
        <v>2</v>
      </c>
      <c r="V12" s="176" t="s">
        <v>59</v>
      </c>
      <c r="W12" s="176" t="s">
        <v>59</v>
      </c>
      <c r="X12" s="176">
        <v>5</v>
      </c>
      <c r="Y12" s="176" t="s">
        <v>59</v>
      </c>
      <c r="Z12" s="175">
        <f>SUM(Tabla40[[#This Row],[2002]:[2024]])</f>
        <v>225</v>
      </c>
    </row>
    <row r="13" spans="2:26" ht="33" x14ac:dyDescent="0.25">
      <c r="B13" s="172" t="s">
        <v>12</v>
      </c>
      <c r="C13" s="173">
        <v>12</v>
      </c>
      <c r="D13" s="173">
        <v>6</v>
      </c>
      <c r="E13" s="173">
        <v>3</v>
      </c>
      <c r="F13" s="173">
        <v>3</v>
      </c>
      <c r="G13" s="173">
        <v>6</v>
      </c>
      <c r="H13" s="173">
        <v>8</v>
      </c>
      <c r="I13" s="173">
        <v>2</v>
      </c>
      <c r="J13" s="173">
        <v>10</v>
      </c>
      <c r="K13" s="173">
        <v>11</v>
      </c>
      <c r="L13" s="173">
        <v>12</v>
      </c>
      <c r="M13" s="173">
        <v>16</v>
      </c>
      <c r="N13" s="173">
        <v>46</v>
      </c>
      <c r="O13" s="173">
        <v>7</v>
      </c>
      <c r="P13" s="173">
        <v>11</v>
      </c>
      <c r="Q13" s="173">
        <v>55</v>
      </c>
      <c r="R13" s="173">
        <v>13</v>
      </c>
      <c r="S13" s="173">
        <v>1</v>
      </c>
      <c r="T13" s="173" t="s">
        <v>59</v>
      </c>
      <c r="U13" s="173" t="s">
        <v>59</v>
      </c>
      <c r="V13" s="173" t="s">
        <v>59</v>
      </c>
      <c r="W13" s="173" t="s">
        <v>59</v>
      </c>
      <c r="X13" s="173" t="s">
        <v>59</v>
      </c>
      <c r="Y13" s="173" t="s">
        <v>59</v>
      </c>
      <c r="Z13" s="175">
        <f>SUM(Tabla40[[#This Row],[2002]:[2024]])</f>
        <v>222</v>
      </c>
    </row>
    <row r="14" spans="2:26" x14ac:dyDescent="0.25">
      <c r="B14" s="172" t="s">
        <v>20</v>
      </c>
      <c r="C14" s="176">
        <v>18</v>
      </c>
      <c r="D14" s="176">
        <v>5</v>
      </c>
      <c r="E14" s="176">
        <v>2</v>
      </c>
      <c r="F14" s="176" t="s">
        <v>59</v>
      </c>
      <c r="G14" s="176">
        <v>3</v>
      </c>
      <c r="H14" s="176" t="s">
        <v>59</v>
      </c>
      <c r="I14" s="176" t="s">
        <v>59</v>
      </c>
      <c r="J14" s="176">
        <v>11</v>
      </c>
      <c r="K14" s="176">
        <v>31</v>
      </c>
      <c r="L14" s="176">
        <v>35</v>
      </c>
      <c r="M14" s="176">
        <v>20</v>
      </c>
      <c r="N14" s="176">
        <v>12</v>
      </c>
      <c r="O14" s="176">
        <v>10</v>
      </c>
      <c r="P14" s="176" t="s">
        <v>59</v>
      </c>
      <c r="Q14" s="176" t="s">
        <v>59</v>
      </c>
      <c r="R14" s="176" t="s">
        <v>59</v>
      </c>
      <c r="S14" s="176" t="s">
        <v>59</v>
      </c>
      <c r="T14" s="176">
        <v>1</v>
      </c>
      <c r="U14" s="176">
        <v>7</v>
      </c>
      <c r="V14" s="176">
        <v>16</v>
      </c>
      <c r="W14" s="176">
        <v>7</v>
      </c>
      <c r="X14" s="176">
        <v>9</v>
      </c>
      <c r="Y14" s="176" t="s">
        <v>59</v>
      </c>
      <c r="Z14" s="175">
        <f>SUM(Tabla40[[#This Row],[2002]:[2024]])</f>
        <v>187</v>
      </c>
    </row>
    <row r="15" spans="2:26" x14ac:dyDescent="0.25">
      <c r="B15" s="172" t="s">
        <v>11</v>
      </c>
      <c r="C15" s="173">
        <v>3</v>
      </c>
      <c r="D15" s="173">
        <v>4</v>
      </c>
      <c r="E15" s="173">
        <v>8</v>
      </c>
      <c r="F15" s="173">
        <v>9</v>
      </c>
      <c r="G15" s="173">
        <v>18</v>
      </c>
      <c r="H15" s="173">
        <v>4</v>
      </c>
      <c r="I15" s="173">
        <v>12</v>
      </c>
      <c r="J15" s="173">
        <v>13</v>
      </c>
      <c r="K15" s="173">
        <v>37</v>
      </c>
      <c r="L15" s="173">
        <v>27</v>
      </c>
      <c r="M15" s="173">
        <v>1</v>
      </c>
      <c r="N15" s="173">
        <v>32</v>
      </c>
      <c r="O15" s="173">
        <v>4</v>
      </c>
      <c r="P15" s="173">
        <v>4</v>
      </c>
      <c r="Q15" s="173" t="s">
        <v>59</v>
      </c>
      <c r="R15" s="173" t="s">
        <v>59</v>
      </c>
      <c r="S15" s="173" t="s">
        <v>59</v>
      </c>
      <c r="T15" s="173">
        <v>1</v>
      </c>
      <c r="U15" s="173">
        <v>7</v>
      </c>
      <c r="V15" s="173">
        <v>2</v>
      </c>
      <c r="W15" s="173" t="s">
        <v>59</v>
      </c>
      <c r="X15" s="173" t="s">
        <v>59</v>
      </c>
      <c r="Y15" s="173" t="s">
        <v>59</v>
      </c>
      <c r="Z15" s="175">
        <f>SUM(Tabla40[[#This Row],[2002]:[2024]])</f>
        <v>186</v>
      </c>
    </row>
    <row r="16" spans="2:26" x14ac:dyDescent="0.25">
      <c r="B16" s="172" t="s">
        <v>14</v>
      </c>
      <c r="C16" s="176">
        <v>1</v>
      </c>
      <c r="D16" s="176">
        <v>2</v>
      </c>
      <c r="E16" s="176" t="s">
        <v>59</v>
      </c>
      <c r="F16" s="176">
        <v>1</v>
      </c>
      <c r="G16" s="176">
        <v>3</v>
      </c>
      <c r="H16" s="176">
        <v>19</v>
      </c>
      <c r="I16" s="176">
        <v>3</v>
      </c>
      <c r="J16" s="176">
        <v>10</v>
      </c>
      <c r="K16" s="176">
        <v>7</v>
      </c>
      <c r="L16" s="176" t="s">
        <v>59</v>
      </c>
      <c r="M16" s="176">
        <v>2</v>
      </c>
      <c r="N16" s="176">
        <v>2</v>
      </c>
      <c r="O16" s="176">
        <v>13</v>
      </c>
      <c r="P16" s="176">
        <v>16</v>
      </c>
      <c r="Q16" s="176">
        <v>30</v>
      </c>
      <c r="R16" s="176">
        <v>13</v>
      </c>
      <c r="S16" s="176" t="s">
        <v>59</v>
      </c>
      <c r="T16" s="176">
        <v>9</v>
      </c>
      <c r="U16" s="176">
        <v>2</v>
      </c>
      <c r="V16" s="176" t="s">
        <v>59</v>
      </c>
      <c r="W16" s="176" t="s">
        <v>59</v>
      </c>
      <c r="X16" s="176" t="s">
        <v>59</v>
      </c>
      <c r="Y16" s="176" t="s">
        <v>59</v>
      </c>
      <c r="Z16" s="175">
        <f>SUM(Tabla40[[#This Row],[2002]:[2024]])</f>
        <v>133</v>
      </c>
    </row>
    <row r="17" spans="2:26" x14ac:dyDescent="0.25">
      <c r="B17" s="172" t="s">
        <v>15</v>
      </c>
      <c r="C17" s="173">
        <v>52</v>
      </c>
      <c r="D17" s="173">
        <v>3</v>
      </c>
      <c r="E17" s="173">
        <v>2</v>
      </c>
      <c r="F17" s="173">
        <v>8</v>
      </c>
      <c r="G17" s="173">
        <v>1</v>
      </c>
      <c r="H17" s="173">
        <v>7</v>
      </c>
      <c r="I17" s="173">
        <v>8</v>
      </c>
      <c r="J17" s="173">
        <v>9</v>
      </c>
      <c r="K17" s="173">
        <v>11</v>
      </c>
      <c r="L17" s="173">
        <v>1</v>
      </c>
      <c r="M17" s="173" t="s">
        <v>59</v>
      </c>
      <c r="N17" s="173">
        <v>1</v>
      </c>
      <c r="O17" s="173" t="s">
        <v>59</v>
      </c>
      <c r="P17" s="173" t="s">
        <v>59</v>
      </c>
      <c r="Q17" s="173" t="s">
        <v>59</v>
      </c>
      <c r="R17" s="173" t="s">
        <v>59</v>
      </c>
      <c r="S17" s="173" t="s">
        <v>59</v>
      </c>
      <c r="T17" s="173">
        <v>5</v>
      </c>
      <c r="U17" s="173">
        <v>8</v>
      </c>
      <c r="V17" s="173" t="s">
        <v>59</v>
      </c>
      <c r="W17" s="173" t="s">
        <v>59</v>
      </c>
      <c r="X17" s="173" t="s">
        <v>59</v>
      </c>
      <c r="Y17" s="173" t="s">
        <v>59</v>
      </c>
      <c r="Z17" s="175">
        <f>SUM(Tabla40[[#This Row],[2002]:[2024]])</f>
        <v>116</v>
      </c>
    </row>
    <row r="18" spans="2:26" ht="16.5" x14ac:dyDescent="0.25">
      <c r="B18" s="172" t="s">
        <v>26</v>
      </c>
      <c r="C18" s="176" t="s">
        <v>59</v>
      </c>
      <c r="D18" s="176">
        <v>28</v>
      </c>
      <c r="E18" s="176">
        <v>6</v>
      </c>
      <c r="F18" s="176">
        <v>3</v>
      </c>
      <c r="G18" s="176">
        <v>6</v>
      </c>
      <c r="H18" s="176">
        <v>5</v>
      </c>
      <c r="I18" s="176">
        <v>3</v>
      </c>
      <c r="J18" s="176">
        <v>6</v>
      </c>
      <c r="K18" s="176">
        <v>7</v>
      </c>
      <c r="L18" s="176">
        <v>8</v>
      </c>
      <c r="M18" s="176" t="s">
        <v>59</v>
      </c>
      <c r="N18" s="176" t="s">
        <v>59</v>
      </c>
      <c r="O18" s="176">
        <v>7</v>
      </c>
      <c r="P18" s="176">
        <v>5</v>
      </c>
      <c r="Q18" s="176">
        <v>8</v>
      </c>
      <c r="R18" s="176">
        <v>2</v>
      </c>
      <c r="S18" s="176" t="s">
        <v>59</v>
      </c>
      <c r="T18" s="176" t="s">
        <v>59</v>
      </c>
      <c r="U18" s="176" t="s">
        <v>59</v>
      </c>
      <c r="V18" s="176" t="s">
        <v>59</v>
      </c>
      <c r="W18" s="176" t="s">
        <v>59</v>
      </c>
      <c r="X18" s="176" t="s">
        <v>59</v>
      </c>
      <c r="Y18" s="176" t="s">
        <v>59</v>
      </c>
      <c r="Z18" s="175">
        <f>SUM(Tabla40[[#This Row],[2002]:[2024]])</f>
        <v>94</v>
      </c>
    </row>
    <row r="19" spans="2:26" ht="24.75" x14ac:dyDescent="0.25">
      <c r="B19" s="172" t="s">
        <v>19</v>
      </c>
      <c r="C19" s="173">
        <v>6</v>
      </c>
      <c r="D19" s="173">
        <v>6</v>
      </c>
      <c r="E19" s="173" t="s">
        <v>59</v>
      </c>
      <c r="F19" s="173" t="s">
        <v>59</v>
      </c>
      <c r="G19" s="173">
        <v>5</v>
      </c>
      <c r="H19" s="173">
        <v>2</v>
      </c>
      <c r="I19" s="173">
        <v>5</v>
      </c>
      <c r="J19" s="173">
        <v>8</v>
      </c>
      <c r="K19" s="173">
        <v>9</v>
      </c>
      <c r="L19" s="173">
        <v>32</v>
      </c>
      <c r="M19" s="173">
        <v>9</v>
      </c>
      <c r="N19" s="173">
        <v>2</v>
      </c>
      <c r="O19" s="173" t="s">
        <v>59</v>
      </c>
      <c r="P19" s="173" t="s">
        <v>59</v>
      </c>
      <c r="Q19" s="173" t="s">
        <v>59</v>
      </c>
      <c r="R19" s="173" t="s">
        <v>59</v>
      </c>
      <c r="S19" s="173" t="s">
        <v>59</v>
      </c>
      <c r="T19" s="173" t="s">
        <v>59</v>
      </c>
      <c r="U19" s="173" t="s">
        <v>59</v>
      </c>
      <c r="V19" s="173" t="s">
        <v>59</v>
      </c>
      <c r="W19" s="173">
        <v>2</v>
      </c>
      <c r="X19" s="173" t="s">
        <v>59</v>
      </c>
      <c r="Y19" s="173" t="s">
        <v>59</v>
      </c>
      <c r="Z19" s="175">
        <f>SUM(Tabla40[[#This Row],[2002]:[2024]])</f>
        <v>86</v>
      </c>
    </row>
    <row r="20" spans="2:26" x14ac:dyDescent="0.25">
      <c r="B20" s="172" t="s">
        <v>22</v>
      </c>
      <c r="C20" s="176" t="s">
        <v>59</v>
      </c>
      <c r="D20" s="176">
        <v>2</v>
      </c>
      <c r="E20" s="176">
        <v>13</v>
      </c>
      <c r="F20" s="176">
        <v>2</v>
      </c>
      <c r="G20" s="176">
        <v>2</v>
      </c>
      <c r="H20" s="176">
        <v>4</v>
      </c>
      <c r="I20" s="176" t="s">
        <v>59</v>
      </c>
      <c r="J20" s="176">
        <v>9</v>
      </c>
      <c r="K20" s="176">
        <v>5</v>
      </c>
      <c r="L20" s="176">
        <v>9</v>
      </c>
      <c r="M20" s="176" t="s">
        <v>59</v>
      </c>
      <c r="N20" s="176">
        <v>9</v>
      </c>
      <c r="O20" s="176" t="s">
        <v>59</v>
      </c>
      <c r="P20" s="176">
        <v>4</v>
      </c>
      <c r="Q20" s="176" t="s">
        <v>59</v>
      </c>
      <c r="R20" s="176">
        <v>1</v>
      </c>
      <c r="S20" s="176" t="s">
        <v>59</v>
      </c>
      <c r="T20" s="176" t="s">
        <v>59</v>
      </c>
      <c r="U20" s="176" t="s">
        <v>59</v>
      </c>
      <c r="V20" s="176" t="s">
        <v>59</v>
      </c>
      <c r="W20" s="176" t="s">
        <v>59</v>
      </c>
      <c r="X20" s="176" t="s">
        <v>59</v>
      </c>
      <c r="Y20" s="176" t="s">
        <v>59</v>
      </c>
      <c r="Z20" s="175">
        <f>SUM(Tabla40[[#This Row],[2002]:[2024]])</f>
        <v>60</v>
      </c>
    </row>
    <row r="21" spans="2:26" x14ac:dyDescent="0.25">
      <c r="B21" s="172" t="s">
        <v>16</v>
      </c>
      <c r="C21" s="173">
        <v>6</v>
      </c>
      <c r="D21" s="173">
        <v>9</v>
      </c>
      <c r="E21" s="173">
        <v>7</v>
      </c>
      <c r="F21" s="173">
        <v>5</v>
      </c>
      <c r="G21" s="173">
        <v>10</v>
      </c>
      <c r="H21" s="173">
        <v>3</v>
      </c>
      <c r="I21" s="173" t="s">
        <v>59</v>
      </c>
      <c r="J21" s="173" t="s">
        <v>59</v>
      </c>
      <c r="K21" s="173" t="s">
        <v>59</v>
      </c>
      <c r="L21" s="173" t="s">
        <v>59</v>
      </c>
      <c r="M21" s="173" t="s">
        <v>59</v>
      </c>
      <c r="N21" s="173" t="s">
        <v>59</v>
      </c>
      <c r="O21" s="173" t="s">
        <v>59</v>
      </c>
      <c r="P21" s="173">
        <v>5</v>
      </c>
      <c r="Q21" s="173">
        <v>9</v>
      </c>
      <c r="R21" s="173">
        <v>4</v>
      </c>
      <c r="S21" s="173" t="s">
        <v>59</v>
      </c>
      <c r="T21" s="173" t="s">
        <v>59</v>
      </c>
      <c r="U21" s="173">
        <v>1</v>
      </c>
      <c r="V21" s="173" t="s">
        <v>59</v>
      </c>
      <c r="W21" s="173" t="s">
        <v>59</v>
      </c>
      <c r="X21" s="173" t="s">
        <v>59</v>
      </c>
      <c r="Y21" s="173" t="s">
        <v>59</v>
      </c>
      <c r="Z21" s="175">
        <f>SUM(Tabla40[[#This Row],[2002]:[2024]])</f>
        <v>59</v>
      </c>
    </row>
    <row r="22" spans="2:26" x14ac:dyDescent="0.25">
      <c r="B22" s="172" t="s">
        <v>18</v>
      </c>
      <c r="C22" s="176">
        <v>1</v>
      </c>
      <c r="D22" s="176" t="s">
        <v>59</v>
      </c>
      <c r="E22" s="176" t="s">
        <v>59</v>
      </c>
      <c r="F22" s="176">
        <v>3</v>
      </c>
      <c r="G22" s="176">
        <v>5</v>
      </c>
      <c r="H22" s="176">
        <v>2</v>
      </c>
      <c r="I22" s="176">
        <v>3</v>
      </c>
      <c r="J22" s="176">
        <v>4</v>
      </c>
      <c r="K22" s="176">
        <v>20</v>
      </c>
      <c r="L22" s="176">
        <v>10</v>
      </c>
      <c r="M22" s="176" t="s">
        <v>59</v>
      </c>
      <c r="N22" s="176" t="s">
        <v>59</v>
      </c>
      <c r="O22" s="176" t="s">
        <v>59</v>
      </c>
      <c r="P22" s="176" t="s">
        <v>59</v>
      </c>
      <c r="Q22" s="176">
        <v>2</v>
      </c>
      <c r="R22" s="176" t="s">
        <v>59</v>
      </c>
      <c r="S22" s="176" t="s">
        <v>59</v>
      </c>
      <c r="T22" s="176" t="s">
        <v>59</v>
      </c>
      <c r="U22" s="176" t="s">
        <v>59</v>
      </c>
      <c r="V22" s="176" t="s">
        <v>59</v>
      </c>
      <c r="W22" s="176" t="s">
        <v>59</v>
      </c>
      <c r="X22" s="176" t="s">
        <v>59</v>
      </c>
      <c r="Y22" s="176" t="s">
        <v>59</v>
      </c>
      <c r="Z22" s="175">
        <f>SUM(Tabla40[[#This Row],[2002]:[2024]])</f>
        <v>50</v>
      </c>
    </row>
    <row r="23" spans="2:26" ht="33" x14ac:dyDescent="0.25">
      <c r="B23" s="172" t="s">
        <v>23</v>
      </c>
      <c r="C23" s="173" t="s">
        <v>59</v>
      </c>
      <c r="D23" s="173" t="s">
        <v>59</v>
      </c>
      <c r="E23" s="173">
        <v>2</v>
      </c>
      <c r="F23" s="173" t="s">
        <v>59</v>
      </c>
      <c r="G23" s="173">
        <v>17</v>
      </c>
      <c r="H23" s="173">
        <v>1</v>
      </c>
      <c r="I23" s="173">
        <v>3</v>
      </c>
      <c r="J23" s="173" t="s">
        <v>59</v>
      </c>
      <c r="K23" s="173">
        <v>9</v>
      </c>
      <c r="L23" s="173">
        <v>6</v>
      </c>
      <c r="M23" s="173" t="s">
        <v>59</v>
      </c>
      <c r="N23" s="173" t="s">
        <v>59</v>
      </c>
      <c r="O23" s="173">
        <v>2</v>
      </c>
      <c r="P23" s="173" t="s">
        <v>59</v>
      </c>
      <c r="Q23" s="173">
        <v>4</v>
      </c>
      <c r="R23" s="173" t="s">
        <v>59</v>
      </c>
      <c r="S23" s="173" t="s">
        <v>59</v>
      </c>
      <c r="T23" s="173" t="s">
        <v>59</v>
      </c>
      <c r="U23" s="173" t="s">
        <v>59</v>
      </c>
      <c r="V23" s="173" t="s">
        <v>59</v>
      </c>
      <c r="W23" s="173" t="s">
        <v>59</v>
      </c>
      <c r="X23" s="173" t="s">
        <v>59</v>
      </c>
      <c r="Y23" s="173" t="s">
        <v>59</v>
      </c>
      <c r="Z23" s="175">
        <f>SUM(Tabla40[[#This Row],[2002]:[2024]])</f>
        <v>44</v>
      </c>
    </row>
    <row r="24" spans="2:26" x14ac:dyDescent="0.25">
      <c r="B24" s="172" t="s">
        <v>24</v>
      </c>
      <c r="C24" s="176" t="s">
        <v>59</v>
      </c>
      <c r="D24" s="176">
        <v>4</v>
      </c>
      <c r="E24" s="176" t="s">
        <v>59</v>
      </c>
      <c r="F24" s="176" t="s">
        <v>59</v>
      </c>
      <c r="G24" s="176">
        <v>3</v>
      </c>
      <c r="H24" s="176">
        <v>10</v>
      </c>
      <c r="I24" s="176">
        <v>4</v>
      </c>
      <c r="J24" s="176" t="s">
        <v>59</v>
      </c>
      <c r="K24" s="176">
        <v>6</v>
      </c>
      <c r="L24" s="176">
        <v>3</v>
      </c>
      <c r="M24" s="176" t="s">
        <v>59</v>
      </c>
      <c r="N24" s="176" t="s">
        <v>59</v>
      </c>
      <c r="O24" s="176" t="s">
        <v>59</v>
      </c>
      <c r="P24" s="176" t="s">
        <v>59</v>
      </c>
      <c r="Q24" s="176" t="s">
        <v>59</v>
      </c>
      <c r="R24" s="176" t="s">
        <v>59</v>
      </c>
      <c r="S24" s="176" t="s">
        <v>59</v>
      </c>
      <c r="T24" s="176" t="s">
        <v>59</v>
      </c>
      <c r="U24" s="176" t="s">
        <v>59</v>
      </c>
      <c r="V24" s="176" t="s">
        <v>59</v>
      </c>
      <c r="W24" s="176" t="s">
        <v>59</v>
      </c>
      <c r="X24" s="176" t="s">
        <v>59</v>
      </c>
      <c r="Y24" s="176" t="s">
        <v>59</v>
      </c>
      <c r="Z24" s="175">
        <f>SUM(Tabla40[[#This Row],[2002]:[2024]])</f>
        <v>30</v>
      </c>
    </row>
    <row r="25" spans="2:26" ht="16.5" x14ac:dyDescent="0.25">
      <c r="B25" s="172" t="s">
        <v>31</v>
      </c>
      <c r="C25" s="173" t="s">
        <v>59</v>
      </c>
      <c r="D25" s="173">
        <v>1</v>
      </c>
      <c r="E25" s="173">
        <v>2</v>
      </c>
      <c r="F25" s="173" t="s">
        <v>59</v>
      </c>
      <c r="G25" s="173">
        <v>3</v>
      </c>
      <c r="H25" s="173">
        <v>11</v>
      </c>
      <c r="I25" s="173">
        <v>7</v>
      </c>
      <c r="J25" s="173">
        <v>2</v>
      </c>
      <c r="K25" s="173">
        <v>4</v>
      </c>
      <c r="L25" s="173" t="s">
        <v>59</v>
      </c>
      <c r="M25" s="173" t="s">
        <v>59</v>
      </c>
      <c r="N25" s="173" t="s">
        <v>59</v>
      </c>
      <c r="O25" s="173" t="s">
        <v>59</v>
      </c>
      <c r="P25" s="173" t="s">
        <v>59</v>
      </c>
      <c r="Q25" s="173" t="s">
        <v>59</v>
      </c>
      <c r="R25" s="173" t="s">
        <v>59</v>
      </c>
      <c r="S25" s="173" t="s">
        <v>59</v>
      </c>
      <c r="T25" s="173" t="s">
        <v>59</v>
      </c>
      <c r="U25" s="173" t="s">
        <v>59</v>
      </c>
      <c r="V25" s="173" t="s">
        <v>59</v>
      </c>
      <c r="W25" s="173" t="s">
        <v>59</v>
      </c>
      <c r="X25" s="173" t="s">
        <v>59</v>
      </c>
      <c r="Y25" s="173" t="s">
        <v>59</v>
      </c>
      <c r="Z25" s="175">
        <f>SUM(Tabla40[[#This Row],[2002]:[2024]])</f>
        <v>30</v>
      </c>
    </row>
    <row r="26" spans="2:26" ht="16.5" x14ac:dyDescent="0.25">
      <c r="B26" s="172" t="s">
        <v>17</v>
      </c>
      <c r="C26" s="176">
        <v>1</v>
      </c>
      <c r="D26" s="176">
        <v>2</v>
      </c>
      <c r="E26" s="176" t="s">
        <v>59</v>
      </c>
      <c r="F26" s="176">
        <v>3</v>
      </c>
      <c r="G26" s="176">
        <v>1</v>
      </c>
      <c r="H26" s="176">
        <v>1</v>
      </c>
      <c r="I26" s="176">
        <v>1</v>
      </c>
      <c r="J26" s="176">
        <v>9</v>
      </c>
      <c r="K26" s="176">
        <v>5</v>
      </c>
      <c r="L26" s="176" t="s">
        <v>59</v>
      </c>
      <c r="M26" s="176">
        <v>1</v>
      </c>
      <c r="N26" s="176" t="s">
        <v>59</v>
      </c>
      <c r="O26" s="176" t="s">
        <v>59</v>
      </c>
      <c r="P26" s="176" t="s">
        <v>59</v>
      </c>
      <c r="Q26" s="176">
        <v>3</v>
      </c>
      <c r="R26" s="176" t="s">
        <v>59</v>
      </c>
      <c r="S26" s="176" t="s">
        <v>59</v>
      </c>
      <c r="T26" s="176" t="s">
        <v>59</v>
      </c>
      <c r="U26" s="176" t="s">
        <v>59</v>
      </c>
      <c r="V26" s="176" t="s">
        <v>59</v>
      </c>
      <c r="W26" s="176" t="s">
        <v>59</v>
      </c>
      <c r="X26" s="176" t="s">
        <v>59</v>
      </c>
      <c r="Y26" s="176" t="s">
        <v>59</v>
      </c>
      <c r="Z26" s="175">
        <f>SUM(Tabla40[[#This Row],[2002]:[2024]])</f>
        <v>27</v>
      </c>
    </row>
    <row r="27" spans="2:26" ht="16.5" x14ac:dyDescent="0.25">
      <c r="B27" s="172" t="s">
        <v>21</v>
      </c>
      <c r="C27" s="173" t="s">
        <v>59</v>
      </c>
      <c r="D27" s="173">
        <v>1</v>
      </c>
      <c r="E27" s="173">
        <v>3</v>
      </c>
      <c r="F27" s="173" t="s">
        <v>59</v>
      </c>
      <c r="G27" s="173" t="s">
        <v>59</v>
      </c>
      <c r="H27" s="173" t="s">
        <v>59</v>
      </c>
      <c r="I27" s="173">
        <v>1</v>
      </c>
      <c r="J27" s="173">
        <v>5</v>
      </c>
      <c r="K27" s="173">
        <v>3</v>
      </c>
      <c r="L27" s="173">
        <v>3</v>
      </c>
      <c r="M27" s="173">
        <v>4</v>
      </c>
      <c r="N27" s="173" t="s">
        <v>59</v>
      </c>
      <c r="O27" s="173" t="s">
        <v>59</v>
      </c>
      <c r="P27" s="173" t="s">
        <v>59</v>
      </c>
      <c r="Q27" s="173" t="s">
        <v>59</v>
      </c>
      <c r="R27" s="173" t="s">
        <v>59</v>
      </c>
      <c r="S27" s="173" t="s">
        <v>59</v>
      </c>
      <c r="T27" s="173">
        <v>1</v>
      </c>
      <c r="U27" s="173">
        <v>2</v>
      </c>
      <c r="V27" s="173" t="s">
        <v>59</v>
      </c>
      <c r="W27" s="173" t="s">
        <v>59</v>
      </c>
      <c r="X27" s="173" t="s">
        <v>59</v>
      </c>
      <c r="Y27" s="173" t="s">
        <v>59</v>
      </c>
      <c r="Z27" s="175">
        <f>SUM(Tabla40[[#This Row],[2002]:[2024]])</f>
        <v>23</v>
      </c>
    </row>
    <row r="28" spans="2:26" ht="16.5" x14ac:dyDescent="0.25">
      <c r="B28" s="172" t="s">
        <v>29</v>
      </c>
      <c r="C28" s="176" t="s">
        <v>59</v>
      </c>
      <c r="D28" s="176" t="s">
        <v>59</v>
      </c>
      <c r="E28" s="176">
        <v>6</v>
      </c>
      <c r="F28" s="176" t="s">
        <v>59</v>
      </c>
      <c r="G28" s="176">
        <v>4</v>
      </c>
      <c r="H28" s="176">
        <v>1</v>
      </c>
      <c r="I28" s="176">
        <v>1</v>
      </c>
      <c r="J28" s="176">
        <v>3</v>
      </c>
      <c r="K28" s="176" t="s">
        <v>59</v>
      </c>
      <c r="L28" s="176" t="s">
        <v>59</v>
      </c>
      <c r="M28" s="176">
        <v>1</v>
      </c>
      <c r="N28" s="176" t="s">
        <v>59</v>
      </c>
      <c r="O28" s="176" t="s">
        <v>59</v>
      </c>
      <c r="P28" s="176" t="s">
        <v>59</v>
      </c>
      <c r="Q28" s="176" t="s">
        <v>59</v>
      </c>
      <c r="R28" s="176" t="s">
        <v>59</v>
      </c>
      <c r="S28" s="176" t="s">
        <v>59</v>
      </c>
      <c r="T28" s="176" t="s">
        <v>59</v>
      </c>
      <c r="U28" s="176" t="s">
        <v>59</v>
      </c>
      <c r="V28" s="176" t="s">
        <v>59</v>
      </c>
      <c r="W28" s="176" t="s">
        <v>59</v>
      </c>
      <c r="X28" s="176" t="s">
        <v>59</v>
      </c>
      <c r="Y28" s="176" t="s">
        <v>59</v>
      </c>
      <c r="Z28" s="175">
        <f>SUM(Tabla40[[#This Row],[2002]:[2024]])</f>
        <v>16</v>
      </c>
    </row>
    <row r="29" spans="2:26" ht="24.75" x14ac:dyDescent="0.25">
      <c r="B29" s="172" t="s">
        <v>30</v>
      </c>
      <c r="C29" s="177" t="s">
        <v>59</v>
      </c>
      <c r="D29" s="173">
        <v>3</v>
      </c>
      <c r="E29" s="173" t="s">
        <v>59</v>
      </c>
      <c r="F29" s="173" t="s">
        <v>59</v>
      </c>
      <c r="G29" s="173">
        <v>5</v>
      </c>
      <c r="H29" s="173" t="s">
        <v>59</v>
      </c>
      <c r="I29" s="173">
        <v>2</v>
      </c>
      <c r="J29" s="173">
        <v>2</v>
      </c>
      <c r="K29" s="173" t="s">
        <v>59</v>
      </c>
      <c r="L29" s="173">
        <v>2</v>
      </c>
      <c r="M29" s="173" t="s">
        <v>59</v>
      </c>
      <c r="N29" s="173" t="s">
        <v>59</v>
      </c>
      <c r="O29" s="173" t="s">
        <v>59</v>
      </c>
      <c r="P29" s="173" t="s">
        <v>59</v>
      </c>
      <c r="Q29" s="173" t="s">
        <v>59</v>
      </c>
      <c r="R29" s="173" t="s">
        <v>59</v>
      </c>
      <c r="S29" s="173" t="s">
        <v>59</v>
      </c>
      <c r="T29" s="173" t="s">
        <v>59</v>
      </c>
      <c r="U29" s="173" t="s">
        <v>59</v>
      </c>
      <c r="V29" s="178" t="s">
        <v>59</v>
      </c>
      <c r="W29" s="173" t="s">
        <v>59</v>
      </c>
      <c r="X29" s="173" t="s">
        <v>59</v>
      </c>
      <c r="Y29" s="173" t="s">
        <v>59</v>
      </c>
      <c r="Z29" s="175">
        <f>SUM(Tabla40[[#This Row],[2002]:[2024]])</f>
        <v>14</v>
      </c>
    </row>
    <row r="30" spans="2:26" ht="24.75" x14ac:dyDescent="0.25">
      <c r="B30" s="172" t="s">
        <v>27</v>
      </c>
      <c r="C30" s="179" t="s">
        <v>59</v>
      </c>
      <c r="D30" s="176" t="s">
        <v>59</v>
      </c>
      <c r="E30" s="176" t="s">
        <v>59</v>
      </c>
      <c r="F30" s="176" t="s">
        <v>59</v>
      </c>
      <c r="G30" s="176">
        <v>8</v>
      </c>
      <c r="H30" s="176">
        <v>1</v>
      </c>
      <c r="I30" s="176" t="s">
        <v>59</v>
      </c>
      <c r="J30" s="176">
        <v>2</v>
      </c>
      <c r="K30" s="176" t="s">
        <v>59</v>
      </c>
      <c r="L30" s="176" t="s">
        <v>59</v>
      </c>
      <c r="M30" s="176" t="s">
        <v>59</v>
      </c>
      <c r="N30" s="176" t="s">
        <v>59</v>
      </c>
      <c r="O30" s="176" t="s">
        <v>59</v>
      </c>
      <c r="P30" s="176" t="s">
        <v>59</v>
      </c>
      <c r="Q30" s="176" t="s">
        <v>59</v>
      </c>
      <c r="R30" s="176" t="s">
        <v>59</v>
      </c>
      <c r="S30" s="176" t="s">
        <v>59</v>
      </c>
      <c r="T30" s="176" t="s">
        <v>59</v>
      </c>
      <c r="U30" s="176">
        <v>2</v>
      </c>
      <c r="V30" s="180" t="s">
        <v>59</v>
      </c>
      <c r="W30" s="176" t="s">
        <v>59</v>
      </c>
      <c r="X30" s="176" t="s">
        <v>59</v>
      </c>
      <c r="Y30" s="176" t="s">
        <v>59</v>
      </c>
      <c r="Z30" s="175">
        <f>SUM(Tabla40[[#This Row],[2002]:[2024]])</f>
        <v>13</v>
      </c>
    </row>
    <row r="31" spans="2:26" ht="33" x14ac:dyDescent="0.25">
      <c r="B31" s="172" t="s">
        <v>25</v>
      </c>
      <c r="C31" s="177" t="s">
        <v>59</v>
      </c>
      <c r="D31" s="173" t="s">
        <v>59</v>
      </c>
      <c r="E31" s="173" t="s">
        <v>59</v>
      </c>
      <c r="F31" s="173" t="s">
        <v>59</v>
      </c>
      <c r="G31" s="173">
        <v>5</v>
      </c>
      <c r="H31" s="173" t="s">
        <v>59</v>
      </c>
      <c r="I31" s="173" t="s">
        <v>59</v>
      </c>
      <c r="J31" s="173" t="s">
        <v>59</v>
      </c>
      <c r="K31" s="173" t="s">
        <v>59</v>
      </c>
      <c r="L31" s="173" t="s">
        <v>59</v>
      </c>
      <c r="M31" s="173" t="s">
        <v>59</v>
      </c>
      <c r="N31" s="173" t="s">
        <v>59</v>
      </c>
      <c r="O31" s="173" t="s">
        <v>59</v>
      </c>
      <c r="P31" s="173" t="s">
        <v>59</v>
      </c>
      <c r="Q31" s="173" t="s">
        <v>59</v>
      </c>
      <c r="R31" s="173" t="s">
        <v>59</v>
      </c>
      <c r="S31" s="173" t="s">
        <v>59</v>
      </c>
      <c r="T31" s="173" t="s">
        <v>59</v>
      </c>
      <c r="U31" s="173" t="s">
        <v>59</v>
      </c>
      <c r="V31" s="178" t="s">
        <v>59</v>
      </c>
      <c r="W31" s="173" t="s">
        <v>59</v>
      </c>
      <c r="X31" s="173" t="s">
        <v>59</v>
      </c>
      <c r="Y31" s="173" t="s">
        <v>59</v>
      </c>
      <c r="Z31" s="175">
        <f>SUM(Tabla40[[#This Row],[2002]:[2024]])</f>
        <v>5</v>
      </c>
    </row>
    <row r="32" spans="2:26" ht="24.75" x14ac:dyDescent="0.25">
      <c r="B32" s="172" t="s">
        <v>32</v>
      </c>
      <c r="C32" s="179" t="s">
        <v>59</v>
      </c>
      <c r="D32" s="176" t="s">
        <v>59</v>
      </c>
      <c r="E32" s="176" t="s">
        <v>59</v>
      </c>
      <c r="F32" s="176" t="s">
        <v>59</v>
      </c>
      <c r="G32" s="176" t="s">
        <v>59</v>
      </c>
      <c r="H32" s="176" t="s">
        <v>59</v>
      </c>
      <c r="I32" s="176" t="s">
        <v>59</v>
      </c>
      <c r="J32" s="176" t="s">
        <v>59</v>
      </c>
      <c r="K32" s="176">
        <v>3</v>
      </c>
      <c r="L32" s="176" t="s">
        <v>59</v>
      </c>
      <c r="M32" s="176" t="s">
        <v>59</v>
      </c>
      <c r="N32" s="176" t="s">
        <v>59</v>
      </c>
      <c r="O32" s="176" t="s">
        <v>59</v>
      </c>
      <c r="P32" s="176" t="s">
        <v>59</v>
      </c>
      <c r="Q32" s="176" t="s">
        <v>59</v>
      </c>
      <c r="R32" s="176" t="s">
        <v>59</v>
      </c>
      <c r="S32" s="176" t="s">
        <v>59</v>
      </c>
      <c r="T32" s="176" t="s">
        <v>59</v>
      </c>
      <c r="U32" s="176" t="s">
        <v>59</v>
      </c>
      <c r="V32" s="180" t="s">
        <v>59</v>
      </c>
      <c r="W32" s="176" t="s">
        <v>59</v>
      </c>
      <c r="X32" s="176" t="s">
        <v>59</v>
      </c>
      <c r="Y32" s="176" t="s">
        <v>59</v>
      </c>
      <c r="Z32" s="175">
        <f>SUM(Tabla40[[#This Row],[2002]:[2024]])</f>
        <v>3</v>
      </c>
    </row>
    <row r="33" spans="2:26" ht="24.75" x14ac:dyDescent="0.25">
      <c r="B33" s="172" t="s">
        <v>28</v>
      </c>
      <c r="C33" s="173" t="s">
        <v>59</v>
      </c>
      <c r="D33" s="173">
        <v>2</v>
      </c>
      <c r="E33" s="173" t="s">
        <v>59</v>
      </c>
      <c r="F33" s="173" t="s">
        <v>59</v>
      </c>
      <c r="G33" s="173" t="s">
        <v>59</v>
      </c>
      <c r="H33" s="173" t="s">
        <v>59</v>
      </c>
      <c r="I33" s="173" t="s">
        <v>59</v>
      </c>
      <c r="J33" s="173" t="s">
        <v>59</v>
      </c>
      <c r="K33" s="173" t="s">
        <v>59</v>
      </c>
      <c r="L33" s="173" t="s">
        <v>59</v>
      </c>
      <c r="M33" s="173" t="s">
        <v>59</v>
      </c>
      <c r="N33" s="173" t="s">
        <v>59</v>
      </c>
      <c r="O33" s="173" t="s">
        <v>59</v>
      </c>
      <c r="P33" s="173" t="s">
        <v>59</v>
      </c>
      <c r="Q33" s="173" t="s">
        <v>59</v>
      </c>
      <c r="R33" s="173" t="s">
        <v>59</v>
      </c>
      <c r="S33" s="173" t="s">
        <v>59</v>
      </c>
      <c r="T33" s="173" t="s">
        <v>59</v>
      </c>
      <c r="U33" s="173" t="s">
        <v>59</v>
      </c>
      <c r="V33" s="173" t="s">
        <v>59</v>
      </c>
      <c r="W33" s="173" t="s">
        <v>59</v>
      </c>
      <c r="X33" s="173" t="s">
        <v>59</v>
      </c>
      <c r="Y33" s="173" t="s">
        <v>59</v>
      </c>
      <c r="Z33" s="175">
        <f>SUM(Tabla40[[#This Row],[2002]:[2024]])</f>
        <v>2</v>
      </c>
    </row>
    <row r="34" spans="2:26" ht="24.75" x14ac:dyDescent="0.25">
      <c r="B34" s="172" t="s">
        <v>33</v>
      </c>
      <c r="C34" s="176" t="s">
        <v>59</v>
      </c>
      <c r="D34" s="176">
        <v>1</v>
      </c>
      <c r="E34" s="176" t="s">
        <v>59</v>
      </c>
      <c r="F34" s="176" t="s">
        <v>59</v>
      </c>
      <c r="G34" s="176" t="s">
        <v>59</v>
      </c>
      <c r="H34" s="176" t="s">
        <v>59</v>
      </c>
      <c r="I34" s="176" t="s">
        <v>59</v>
      </c>
      <c r="J34" s="176" t="s">
        <v>59</v>
      </c>
      <c r="K34" s="176" t="s">
        <v>59</v>
      </c>
      <c r="L34" s="176" t="s">
        <v>59</v>
      </c>
      <c r="M34" s="176" t="s">
        <v>59</v>
      </c>
      <c r="N34" s="176" t="s">
        <v>59</v>
      </c>
      <c r="O34" s="176" t="s">
        <v>59</v>
      </c>
      <c r="P34" s="176" t="s">
        <v>59</v>
      </c>
      <c r="Q34" s="176" t="s">
        <v>59</v>
      </c>
      <c r="R34" s="176" t="s">
        <v>59</v>
      </c>
      <c r="S34" s="176" t="s">
        <v>59</v>
      </c>
      <c r="T34" s="176" t="s">
        <v>59</v>
      </c>
      <c r="U34" s="176" t="s">
        <v>59</v>
      </c>
      <c r="V34" s="176" t="s">
        <v>59</v>
      </c>
      <c r="W34" s="176" t="s">
        <v>59</v>
      </c>
      <c r="X34" s="176" t="s">
        <v>59</v>
      </c>
      <c r="Y34" s="176" t="s">
        <v>59</v>
      </c>
      <c r="Z34" s="175">
        <f>SUM(Tabla40[[#This Row],[2002]:[2024]])</f>
        <v>1</v>
      </c>
    </row>
    <row r="35" spans="2:26" x14ac:dyDescent="0.25">
      <c r="B35" s="172" t="s">
        <v>34</v>
      </c>
      <c r="C35" s="181">
        <f>SUBTOTAL(109,Tabla40[2002])</f>
        <v>336</v>
      </c>
      <c r="D35" s="181">
        <f>SUBTOTAL(109,Tabla40[2003])</f>
        <v>540</v>
      </c>
      <c r="E35" s="181">
        <f>SUBTOTAL(109,Tabla40[2004])</f>
        <v>221</v>
      </c>
      <c r="F35" s="181">
        <f>SUBTOTAL(109,Tabla40[2005])</f>
        <v>144</v>
      </c>
      <c r="G35" s="181">
        <f>SUBTOTAL(109,Tabla40[2006])</f>
        <v>357</v>
      </c>
      <c r="H35" s="181">
        <f>SUBTOTAL(109,Tabla40[2007])</f>
        <v>384</v>
      </c>
      <c r="I35" s="181">
        <f>SUBTOTAL(109,Tabla40[2008])</f>
        <v>211</v>
      </c>
      <c r="J35" s="181">
        <f>SUBTOTAL(109,Tabla40[2009])</f>
        <v>382</v>
      </c>
      <c r="K35" s="181">
        <f>SUBTOTAL(109,Tabla40[2010])</f>
        <v>439</v>
      </c>
      <c r="L35" s="181">
        <f>SUBTOTAL(109,Tabla40[2011])</f>
        <v>409</v>
      </c>
      <c r="M35" s="181">
        <f>SUBTOTAL(109,Tabla40[2012])</f>
        <v>591</v>
      </c>
      <c r="N35" s="181">
        <f>SUBTOTAL(109,Tabla40[2013])</f>
        <v>783</v>
      </c>
      <c r="O35" s="181">
        <f>SUBTOTAL(109,Tabla40[2014])</f>
        <v>1208</v>
      </c>
      <c r="P35" s="181">
        <f>SUBTOTAL(109,Tabla40[2015])</f>
        <v>377</v>
      </c>
      <c r="Q35" s="181">
        <f>SUBTOTAL(109,Tabla40[2016])</f>
        <v>643</v>
      </c>
      <c r="R35" s="181">
        <f>SUBTOTAL(109,Tabla40[2017])</f>
        <v>204</v>
      </c>
      <c r="S35" s="181">
        <f>SUBTOTAL(109,Tabla40[2018])</f>
        <v>147</v>
      </c>
      <c r="T35" s="181">
        <f>SUBTOTAL(109,Tabla40[2019])</f>
        <v>194</v>
      </c>
      <c r="U35" s="181">
        <f>SUBTOTAL(109,Tabla40[2020])</f>
        <v>204</v>
      </c>
      <c r="V35" s="181">
        <f>SUBTOTAL(109,Tabla40[2021])</f>
        <v>181</v>
      </c>
      <c r="W35" s="181">
        <f>SUBTOTAL(109,Tabla40[2022])</f>
        <v>111</v>
      </c>
      <c r="X35" s="181">
        <f>SUBTOTAL(109,Tabla40[2023])</f>
        <v>408</v>
      </c>
      <c r="Y35" s="181">
        <f>SUBTOTAL(109,Tabla40[2024])</f>
        <v>174</v>
      </c>
      <c r="Z35" s="175">
        <f>SUM(Z5:Z34)</f>
        <v>8648</v>
      </c>
    </row>
  </sheetData>
  <mergeCells count="3">
    <mergeCell ref="B3:B4"/>
    <mergeCell ref="C3:V3"/>
    <mergeCell ref="Z3:Z4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B393-0D81-4B86-89C7-18E0F7CA2B2D}">
  <dimension ref="A1"/>
  <sheetViews>
    <sheetView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4557D-BB34-4ADC-B8B9-CCD03F06A8E1}">
  <dimension ref="B3:E27"/>
  <sheetViews>
    <sheetView workbookViewId="0">
      <selection activeCell="B3" sqref="B3:E27"/>
    </sheetView>
  </sheetViews>
  <sheetFormatPr baseColWidth="10" defaultRowHeight="15" x14ac:dyDescent="0.25"/>
  <cols>
    <col min="2" max="2" width="14.5703125" customWidth="1"/>
    <col min="3" max="3" width="15.5703125" customWidth="1"/>
  </cols>
  <sheetData>
    <row r="3" spans="2:5" ht="60" x14ac:dyDescent="0.25">
      <c r="B3" s="182" t="s">
        <v>78</v>
      </c>
      <c r="C3" s="182" t="s">
        <v>79</v>
      </c>
      <c r="D3" s="182" t="s">
        <v>80</v>
      </c>
      <c r="E3" s="182" t="s">
        <v>34</v>
      </c>
    </row>
    <row r="4" spans="2:5" x14ac:dyDescent="0.25">
      <c r="B4" s="183">
        <v>0</v>
      </c>
      <c r="C4" s="183">
        <v>0</v>
      </c>
      <c r="D4" s="184">
        <v>102</v>
      </c>
      <c r="E4" s="185">
        <f>SUM([1]!Tabla30[[#This Row],[En proceso 
de Notificación]:[Concluidas]])</f>
        <v>332</v>
      </c>
    </row>
    <row r="5" spans="2:5" x14ac:dyDescent="0.25">
      <c r="B5" s="186">
        <v>0</v>
      </c>
      <c r="C5" s="186">
        <v>0</v>
      </c>
      <c r="D5" s="187">
        <v>192</v>
      </c>
      <c r="E5" s="185">
        <f>SUM([1]!Tabla30[[#This Row],[En proceso 
de Notificación]:[Concluidas]])</f>
        <v>285</v>
      </c>
    </row>
    <row r="6" spans="2:5" x14ac:dyDescent="0.25">
      <c r="B6" s="183">
        <v>0</v>
      </c>
      <c r="C6" s="183">
        <v>0</v>
      </c>
      <c r="D6" s="184">
        <v>332</v>
      </c>
      <c r="E6" s="185">
        <f>SUM([1]!Tabla30[[#This Row],[En proceso 
de Notificación]:[Concluidas]])</f>
        <v>360</v>
      </c>
    </row>
    <row r="7" spans="2:5" x14ac:dyDescent="0.25">
      <c r="B7" s="186">
        <v>0</v>
      </c>
      <c r="C7" s="186">
        <v>0</v>
      </c>
      <c r="D7" s="187">
        <v>285</v>
      </c>
      <c r="E7" s="185">
        <f>SUM([1]!Tabla30[[#This Row],[En proceso 
de Notificación]:[Concluidas]])</f>
        <v>1174</v>
      </c>
    </row>
    <row r="8" spans="2:5" x14ac:dyDescent="0.25">
      <c r="B8" s="183">
        <v>0</v>
      </c>
      <c r="C8" s="183">
        <v>0</v>
      </c>
      <c r="D8" s="184">
        <v>360</v>
      </c>
      <c r="E8" s="185">
        <f>SUM([1]!Tabla30[[#This Row],[En proceso 
de Notificación]:[Concluidas]])</f>
        <v>1109</v>
      </c>
    </row>
    <row r="9" spans="2:5" x14ac:dyDescent="0.25">
      <c r="B9" s="186">
        <v>0</v>
      </c>
      <c r="C9" s="186">
        <v>0</v>
      </c>
      <c r="D9" s="187">
        <v>1174</v>
      </c>
      <c r="E9" s="185">
        <f>SUM([1]!Tabla30[[#This Row],[En proceso 
de Notificación]:[Concluidas]])</f>
        <v>996</v>
      </c>
    </row>
    <row r="10" spans="2:5" x14ac:dyDescent="0.25">
      <c r="B10" s="183">
        <v>0</v>
      </c>
      <c r="C10" s="183">
        <v>0</v>
      </c>
      <c r="D10" s="184">
        <v>1109</v>
      </c>
      <c r="E10" s="185">
        <f>SUM([1]!Tabla30[[#This Row],[En proceso 
de Notificación]:[Concluidas]])</f>
        <v>1337</v>
      </c>
    </row>
    <row r="11" spans="2:5" x14ac:dyDescent="0.25">
      <c r="B11" s="186">
        <v>0</v>
      </c>
      <c r="C11" s="186">
        <v>0</v>
      </c>
      <c r="D11" s="187">
        <v>996</v>
      </c>
      <c r="E11" s="185">
        <f>SUM([1]!Tabla30[[#This Row],[En proceso 
de Notificación]:[Concluidas]])</f>
        <v>1239</v>
      </c>
    </row>
    <row r="12" spans="2:5" x14ac:dyDescent="0.25">
      <c r="B12" s="183">
        <v>0</v>
      </c>
      <c r="C12" s="183">
        <v>0</v>
      </c>
      <c r="D12" s="184">
        <v>1337</v>
      </c>
      <c r="E12" s="185">
        <f>SUM([1]!Tabla30[[#This Row],[En proceso 
de Notificación]:[Concluidas]])</f>
        <v>1910</v>
      </c>
    </row>
    <row r="13" spans="2:5" x14ac:dyDescent="0.25">
      <c r="B13" s="186">
        <v>0</v>
      </c>
      <c r="C13" s="186">
        <v>0</v>
      </c>
      <c r="D13" s="187">
        <v>1239</v>
      </c>
      <c r="E13" s="185">
        <f>SUM([1]!Tabla30[[#This Row],[En proceso 
de Notificación]:[Concluidas]])</f>
        <v>2033</v>
      </c>
    </row>
    <row r="14" spans="2:5" x14ac:dyDescent="0.25">
      <c r="B14" s="183">
        <v>0</v>
      </c>
      <c r="C14" s="183">
        <v>0</v>
      </c>
      <c r="D14" s="184">
        <v>1910</v>
      </c>
      <c r="E14" s="185">
        <f>SUM([1]!Tabla30[[#This Row],[En proceso 
de Notificación]:[Concluidas]])</f>
        <v>2226</v>
      </c>
    </row>
    <row r="15" spans="2:5" x14ac:dyDescent="0.25">
      <c r="B15" s="186">
        <v>0</v>
      </c>
      <c r="C15" s="186">
        <v>0</v>
      </c>
      <c r="D15" s="187">
        <v>2033</v>
      </c>
      <c r="E15" s="185">
        <f>SUM([1]!Tabla30[[#This Row],[En proceso 
de Notificación]:[Concluidas]])</f>
        <v>2782</v>
      </c>
    </row>
    <row r="16" spans="2:5" x14ac:dyDescent="0.25">
      <c r="B16" s="183">
        <v>0</v>
      </c>
      <c r="C16" s="183">
        <v>0</v>
      </c>
      <c r="D16" s="184">
        <v>2226</v>
      </c>
      <c r="E16" s="185">
        <f>SUM([1]!Tabla30[[#This Row],[En proceso 
de Notificación]:[Concluidas]])</f>
        <v>2810</v>
      </c>
    </row>
    <row r="17" spans="2:5" x14ac:dyDescent="0.25">
      <c r="B17" s="186">
        <v>0</v>
      </c>
      <c r="C17" s="186">
        <v>0</v>
      </c>
      <c r="D17" s="187">
        <v>2782</v>
      </c>
      <c r="E17" s="185">
        <f>SUM([1]!Tabla30[[#This Row],[En proceso 
de Notificación]:[Concluidas]])</f>
        <v>2058</v>
      </c>
    </row>
    <row r="18" spans="2:5" x14ac:dyDescent="0.25">
      <c r="B18" s="183">
        <v>0</v>
      </c>
      <c r="C18" s="183">
        <v>0</v>
      </c>
      <c r="D18" s="184">
        <v>2810</v>
      </c>
      <c r="E18" s="185">
        <f>SUM([1]!Tabla30[[#This Row],[En proceso 
de Notificación]:[Concluidas]])</f>
        <v>2557</v>
      </c>
    </row>
    <row r="19" spans="2:5" x14ac:dyDescent="0.25">
      <c r="B19" s="186">
        <v>0</v>
      </c>
      <c r="C19" s="186">
        <v>0</v>
      </c>
      <c r="D19" s="187">
        <v>2058</v>
      </c>
      <c r="E19" s="185">
        <f>SUM([1]!Tabla30[[#This Row],[En proceso 
de Notificación]:[Concluidas]])</f>
        <v>1628</v>
      </c>
    </row>
    <row r="20" spans="2:5" x14ac:dyDescent="0.25">
      <c r="B20" s="183">
        <v>0</v>
      </c>
      <c r="C20" s="183">
        <v>0</v>
      </c>
      <c r="D20" s="184">
        <v>2557</v>
      </c>
      <c r="E20" s="185">
        <f>SUM([1]!Tabla30[[#This Row],[En proceso 
de Notificación]:[Concluidas]])</f>
        <v>1333</v>
      </c>
    </row>
    <row r="21" spans="2:5" x14ac:dyDescent="0.25">
      <c r="B21" s="186">
        <v>0</v>
      </c>
      <c r="C21" s="186">
        <v>12</v>
      </c>
      <c r="D21" s="187">
        <v>1616</v>
      </c>
      <c r="E21" s="185">
        <f>SUM([1]!Tabla30[[#This Row],[En proceso 
de Notificación]:[Concluidas]])</f>
        <v>1469</v>
      </c>
    </row>
    <row r="22" spans="2:5" x14ac:dyDescent="0.25">
      <c r="B22" s="183">
        <v>0</v>
      </c>
      <c r="C22" s="183">
        <v>100</v>
      </c>
      <c r="D22" s="184">
        <v>1233</v>
      </c>
      <c r="E22" s="185">
        <f>SUM([1]!Tabla30[[#This Row],[En proceso 
de Notificación]:[Concluidas]])</f>
        <v>1696</v>
      </c>
    </row>
    <row r="23" spans="2:5" x14ac:dyDescent="0.25">
      <c r="B23" s="186">
        <v>0</v>
      </c>
      <c r="C23" s="186">
        <v>207</v>
      </c>
      <c r="D23" s="187">
        <v>1262</v>
      </c>
      <c r="E23" s="185">
        <f>SUM([1]!Tabla30[[#This Row],[En proceso 
de Notificación]:[Concluidas]])</f>
        <v>2594</v>
      </c>
    </row>
    <row r="24" spans="2:5" x14ac:dyDescent="0.25">
      <c r="B24" s="183">
        <v>0</v>
      </c>
      <c r="C24" s="183">
        <v>105</v>
      </c>
      <c r="D24" s="184">
        <v>1591</v>
      </c>
      <c r="E24" s="185">
        <f>SUM([1]!Tabla30[[#This Row],[En proceso 
de Notificación]:[Concluidas]])</f>
        <v>2762</v>
      </c>
    </row>
    <row r="25" spans="2:5" x14ac:dyDescent="0.25">
      <c r="B25" s="186">
        <v>0</v>
      </c>
      <c r="C25" s="186">
        <v>1071</v>
      </c>
      <c r="D25" s="187">
        <v>1523</v>
      </c>
      <c r="E25" s="185">
        <f>SUM([1]!Tabla30[[#This Row],[En proceso 
de Notificación]:[Concluidas]])</f>
        <v>34984</v>
      </c>
    </row>
    <row r="26" spans="2:5" x14ac:dyDescent="0.25">
      <c r="B26" s="183">
        <v>1587</v>
      </c>
      <c r="C26" s="183">
        <v>1112</v>
      </c>
      <c r="D26" s="184">
        <v>63</v>
      </c>
      <c r="E26" s="185" t="e">
        <f>SUM([1]!Tabla30[[#This Row],[En proceso 
de Notificación]:[Concluidas]])</f>
        <v>#VALUE!</v>
      </c>
    </row>
    <row r="27" spans="2:5" x14ac:dyDescent="0.25">
      <c r="B27" s="188">
        <f>SUBTOTAL(109,B4:B26)</f>
        <v>1587</v>
      </c>
      <c r="C27" s="188">
        <f>SUBTOTAL(109,C4:C26)</f>
        <v>2607</v>
      </c>
      <c r="D27" s="185">
        <f>SUBTOTAL(109,D4:D26)</f>
        <v>30790</v>
      </c>
      <c r="E27" s="185" t="e">
        <f>SUM([1]!Tabla30[[#This Row],[En proceso 
de Notificación]:[Concluidas]])</f>
        <v>#VALUE!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E4F4-B64D-4814-9786-0E2A2B20F5B0}">
  <dimension ref="C3:AA34"/>
  <sheetViews>
    <sheetView workbookViewId="0">
      <selection activeCell="C3" sqref="C3:AA34"/>
    </sheetView>
  </sheetViews>
  <sheetFormatPr baseColWidth="10" defaultRowHeight="15" x14ac:dyDescent="0.25"/>
  <sheetData>
    <row r="3" spans="3:27" x14ac:dyDescent="0.25">
      <c r="C3" s="120" t="s">
        <v>0</v>
      </c>
      <c r="D3" s="189" t="s">
        <v>35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1"/>
      <c r="AA3" s="124" t="s">
        <v>34</v>
      </c>
    </row>
    <row r="4" spans="3:27" x14ac:dyDescent="0.25">
      <c r="C4" s="120"/>
      <c r="D4" s="125" t="s">
        <v>36</v>
      </c>
      <c r="E4" s="125" t="s">
        <v>37</v>
      </c>
      <c r="F4" s="125" t="s">
        <v>38</v>
      </c>
      <c r="G4" s="125" t="s">
        <v>39</v>
      </c>
      <c r="H4" s="125" t="s">
        <v>40</v>
      </c>
      <c r="I4" s="125" t="s">
        <v>41</v>
      </c>
      <c r="J4" s="125" t="s">
        <v>42</v>
      </c>
      <c r="K4" s="125" t="s">
        <v>43</v>
      </c>
      <c r="L4" s="125" t="s">
        <v>44</v>
      </c>
      <c r="M4" s="125" t="s">
        <v>45</v>
      </c>
      <c r="N4" s="125" t="s">
        <v>46</v>
      </c>
      <c r="O4" s="125" t="s">
        <v>47</v>
      </c>
      <c r="P4" s="125" t="s">
        <v>48</v>
      </c>
      <c r="Q4" s="125" t="s">
        <v>49</v>
      </c>
      <c r="R4" s="125" t="s">
        <v>50</v>
      </c>
      <c r="S4" s="125" t="s">
        <v>51</v>
      </c>
      <c r="T4" s="125" t="s">
        <v>52</v>
      </c>
      <c r="U4" s="125" t="s">
        <v>53</v>
      </c>
      <c r="V4" s="125" t="s">
        <v>54</v>
      </c>
      <c r="W4" s="125" t="s">
        <v>55</v>
      </c>
      <c r="X4" s="126" t="s">
        <v>56</v>
      </c>
      <c r="Y4" s="126" t="s">
        <v>57</v>
      </c>
      <c r="Z4" s="126" t="s">
        <v>58</v>
      </c>
      <c r="AA4" s="124"/>
    </row>
    <row r="5" spans="3:27" ht="24.75" x14ac:dyDescent="0.25">
      <c r="C5" s="127" t="s">
        <v>4</v>
      </c>
      <c r="D5" s="192">
        <v>34</v>
      </c>
      <c r="E5" s="192">
        <v>99</v>
      </c>
      <c r="F5" s="192">
        <v>175</v>
      </c>
      <c r="G5" s="192">
        <v>138</v>
      </c>
      <c r="H5" s="192">
        <v>180</v>
      </c>
      <c r="I5" s="192">
        <v>968</v>
      </c>
      <c r="J5" s="192">
        <v>939</v>
      </c>
      <c r="K5" s="192">
        <v>825</v>
      </c>
      <c r="L5" s="192">
        <v>1061</v>
      </c>
      <c r="M5" s="192">
        <v>973</v>
      </c>
      <c r="N5" s="192">
        <v>1509</v>
      </c>
      <c r="O5" s="192">
        <v>1546</v>
      </c>
      <c r="P5" s="192">
        <v>1740</v>
      </c>
      <c r="Q5" s="192">
        <v>1800</v>
      </c>
      <c r="R5" s="192">
        <v>2144</v>
      </c>
      <c r="S5" s="192">
        <v>1385</v>
      </c>
      <c r="T5" s="192">
        <v>1559</v>
      </c>
      <c r="U5" s="192">
        <v>873</v>
      </c>
      <c r="V5" s="192">
        <v>727</v>
      </c>
      <c r="W5" s="192">
        <v>946</v>
      </c>
      <c r="X5" s="193">
        <v>1046</v>
      </c>
      <c r="Y5" s="193">
        <v>1893</v>
      </c>
      <c r="Z5" s="193">
        <v>2329</v>
      </c>
      <c r="AA5" s="130">
        <f>SUM(Tabla42[[#This Row],[2002]:[2024]])</f>
        <v>24889</v>
      </c>
    </row>
    <row r="6" spans="3:27" ht="41.25" x14ac:dyDescent="0.25">
      <c r="C6" s="127" t="s">
        <v>8</v>
      </c>
      <c r="D6" s="194">
        <v>4</v>
      </c>
      <c r="E6" s="194">
        <v>4</v>
      </c>
      <c r="F6" s="194">
        <v>15</v>
      </c>
      <c r="G6" s="194">
        <v>23</v>
      </c>
      <c r="H6" s="194">
        <v>52</v>
      </c>
      <c r="I6" s="194">
        <v>39</v>
      </c>
      <c r="J6" s="194">
        <v>10</v>
      </c>
      <c r="K6" s="194">
        <v>7</v>
      </c>
      <c r="L6" s="194">
        <v>23</v>
      </c>
      <c r="M6" s="194">
        <v>10</v>
      </c>
      <c r="N6" s="194">
        <v>72</v>
      </c>
      <c r="O6" s="194">
        <v>11</v>
      </c>
      <c r="P6" s="194">
        <v>52</v>
      </c>
      <c r="Q6" s="194">
        <v>121</v>
      </c>
      <c r="R6" s="194">
        <v>76</v>
      </c>
      <c r="S6" s="194">
        <v>143</v>
      </c>
      <c r="T6" s="194">
        <v>277</v>
      </c>
      <c r="U6" s="194">
        <v>206</v>
      </c>
      <c r="V6" s="194">
        <v>109</v>
      </c>
      <c r="W6" s="194">
        <v>53</v>
      </c>
      <c r="X6" s="194">
        <v>97</v>
      </c>
      <c r="Y6" s="194">
        <v>110</v>
      </c>
      <c r="Z6" s="194">
        <v>66</v>
      </c>
      <c r="AA6" s="130">
        <f>SUM(Tabla42[[#This Row],[2002]:[2024]])</f>
        <v>1580</v>
      </c>
    </row>
    <row r="7" spans="3:27" ht="33" x14ac:dyDescent="0.25">
      <c r="C7" s="127" t="s">
        <v>7</v>
      </c>
      <c r="D7" s="192">
        <v>3</v>
      </c>
      <c r="E7" s="192" t="s">
        <v>59</v>
      </c>
      <c r="F7" s="192">
        <v>15</v>
      </c>
      <c r="G7" s="192">
        <v>8</v>
      </c>
      <c r="H7" s="192">
        <v>4</v>
      </c>
      <c r="I7" s="192" t="s">
        <v>59</v>
      </c>
      <c r="J7" s="192">
        <v>2</v>
      </c>
      <c r="K7" s="192">
        <v>1</v>
      </c>
      <c r="L7" s="192">
        <v>2</v>
      </c>
      <c r="M7" s="192">
        <v>8</v>
      </c>
      <c r="N7" s="192">
        <v>38</v>
      </c>
      <c r="O7" s="192">
        <v>92</v>
      </c>
      <c r="P7" s="192">
        <v>126</v>
      </c>
      <c r="Q7" s="192">
        <v>83</v>
      </c>
      <c r="R7" s="192">
        <v>138</v>
      </c>
      <c r="S7" s="192">
        <v>48</v>
      </c>
      <c r="T7" s="192">
        <v>135</v>
      </c>
      <c r="U7" s="192">
        <v>88</v>
      </c>
      <c r="V7" s="192">
        <v>122</v>
      </c>
      <c r="W7" s="192">
        <v>143</v>
      </c>
      <c r="X7" s="192">
        <v>172</v>
      </c>
      <c r="Y7" s="192">
        <v>190</v>
      </c>
      <c r="Z7" s="192">
        <v>160</v>
      </c>
      <c r="AA7" s="130">
        <f>SUM(Tabla42[[#This Row],[2002]:[2024]])</f>
        <v>1578</v>
      </c>
    </row>
    <row r="8" spans="3:27" ht="24.75" x14ac:dyDescent="0.25">
      <c r="C8" s="127" t="s">
        <v>13</v>
      </c>
      <c r="D8" s="194">
        <v>11</v>
      </c>
      <c r="E8" s="194">
        <v>2</v>
      </c>
      <c r="F8" s="194">
        <v>17</v>
      </c>
      <c r="G8" s="194">
        <v>24</v>
      </c>
      <c r="H8" s="194">
        <v>16</v>
      </c>
      <c r="I8" s="194">
        <v>16</v>
      </c>
      <c r="J8" s="194">
        <v>20</v>
      </c>
      <c r="K8" s="194">
        <v>25</v>
      </c>
      <c r="L8" s="194">
        <v>75</v>
      </c>
      <c r="M8" s="194">
        <v>111</v>
      </c>
      <c r="N8" s="194">
        <v>78</v>
      </c>
      <c r="O8" s="194">
        <v>98</v>
      </c>
      <c r="P8" s="194">
        <v>98</v>
      </c>
      <c r="Q8" s="194">
        <v>120</v>
      </c>
      <c r="R8" s="194">
        <v>123</v>
      </c>
      <c r="S8" s="194">
        <v>109</v>
      </c>
      <c r="T8" s="194">
        <v>109</v>
      </c>
      <c r="U8" s="194">
        <v>52</v>
      </c>
      <c r="V8" s="194">
        <v>45</v>
      </c>
      <c r="W8" s="194">
        <v>27</v>
      </c>
      <c r="X8" s="194">
        <v>34</v>
      </c>
      <c r="Y8" s="194">
        <v>22</v>
      </c>
      <c r="Z8" s="194">
        <v>13</v>
      </c>
      <c r="AA8" s="130">
        <f>SUM(Tabla42[[#This Row],[2002]:[2024]])</f>
        <v>1245</v>
      </c>
    </row>
    <row r="9" spans="3:27" ht="24.75" x14ac:dyDescent="0.25">
      <c r="C9" s="127" t="s">
        <v>6</v>
      </c>
      <c r="D9" s="192">
        <v>8</v>
      </c>
      <c r="E9" s="192">
        <v>8</v>
      </c>
      <c r="F9" s="192">
        <v>33</v>
      </c>
      <c r="G9" s="192">
        <v>24</v>
      </c>
      <c r="H9" s="192">
        <v>16</v>
      </c>
      <c r="I9" s="192">
        <v>24</v>
      </c>
      <c r="J9" s="192">
        <v>10</v>
      </c>
      <c r="K9" s="192">
        <v>22</v>
      </c>
      <c r="L9" s="192">
        <v>29</v>
      </c>
      <c r="M9" s="192">
        <v>16</v>
      </c>
      <c r="N9" s="192">
        <v>12</v>
      </c>
      <c r="O9" s="192">
        <v>27</v>
      </c>
      <c r="P9" s="192">
        <v>21</v>
      </c>
      <c r="Q9" s="192">
        <v>42</v>
      </c>
      <c r="R9" s="192">
        <v>44</v>
      </c>
      <c r="S9" s="192">
        <v>40</v>
      </c>
      <c r="T9" s="192">
        <v>52</v>
      </c>
      <c r="U9" s="192">
        <v>42</v>
      </c>
      <c r="V9" s="192">
        <v>35</v>
      </c>
      <c r="W9" s="192">
        <v>53</v>
      </c>
      <c r="X9" s="192">
        <v>49</v>
      </c>
      <c r="Y9" s="192">
        <v>51</v>
      </c>
      <c r="Z9" s="192">
        <v>20</v>
      </c>
      <c r="AA9" s="130">
        <f>SUM(Tabla42[[#This Row],[2002]:[2024]])</f>
        <v>678</v>
      </c>
    </row>
    <row r="10" spans="3:27" ht="33" x14ac:dyDescent="0.25">
      <c r="C10" s="127" t="s">
        <v>9</v>
      </c>
      <c r="D10" s="194">
        <v>6</v>
      </c>
      <c r="E10" s="194">
        <v>10</v>
      </c>
      <c r="F10" s="194">
        <v>16</v>
      </c>
      <c r="G10" s="194">
        <v>18</v>
      </c>
      <c r="H10" s="194">
        <v>10</v>
      </c>
      <c r="I10" s="194">
        <v>29</v>
      </c>
      <c r="J10" s="194">
        <v>36</v>
      </c>
      <c r="K10" s="194">
        <v>31</v>
      </c>
      <c r="L10" s="194">
        <v>30</v>
      </c>
      <c r="M10" s="194">
        <v>22</v>
      </c>
      <c r="N10" s="194">
        <v>29</v>
      </c>
      <c r="O10" s="194">
        <v>12</v>
      </c>
      <c r="P10" s="194">
        <v>26</v>
      </c>
      <c r="Q10" s="194">
        <v>24</v>
      </c>
      <c r="R10" s="194">
        <v>32</v>
      </c>
      <c r="S10" s="194">
        <v>33</v>
      </c>
      <c r="T10" s="194">
        <v>53</v>
      </c>
      <c r="U10" s="194">
        <v>28</v>
      </c>
      <c r="V10" s="194">
        <v>40</v>
      </c>
      <c r="W10" s="194">
        <v>38</v>
      </c>
      <c r="X10" s="194">
        <v>32</v>
      </c>
      <c r="Y10" s="194">
        <v>48</v>
      </c>
      <c r="Z10" s="194">
        <v>21</v>
      </c>
      <c r="AA10" s="130">
        <f>SUM(Tabla42[[#This Row],[2002]:[2024]])</f>
        <v>624</v>
      </c>
    </row>
    <row r="11" spans="3:27" ht="24.75" x14ac:dyDescent="0.25">
      <c r="C11" s="127" t="s">
        <v>5</v>
      </c>
      <c r="D11" s="192">
        <v>7</v>
      </c>
      <c r="E11" s="192">
        <v>36</v>
      </c>
      <c r="F11" s="192">
        <v>12</v>
      </c>
      <c r="G11" s="192">
        <v>18</v>
      </c>
      <c r="H11" s="192">
        <v>9</v>
      </c>
      <c r="I11" s="192">
        <v>14</v>
      </c>
      <c r="J11" s="192">
        <v>11</v>
      </c>
      <c r="K11" s="192">
        <v>10</v>
      </c>
      <c r="L11" s="192">
        <v>24</v>
      </c>
      <c r="M11" s="192">
        <v>14</v>
      </c>
      <c r="N11" s="192">
        <v>23</v>
      </c>
      <c r="O11" s="192">
        <v>9</v>
      </c>
      <c r="P11" s="192">
        <v>15</v>
      </c>
      <c r="Q11" s="192">
        <v>169</v>
      </c>
      <c r="R11" s="192">
        <v>16</v>
      </c>
      <c r="S11" s="192">
        <v>51</v>
      </c>
      <c r="T11" s="192">
        <v>21</v>
      </c>
      <c r="U11" s="192">
        <v>19</v>
      </c>
      <c r="V11" s="192">
        <v>15</v>
      </c>
      <c r="W11" s="192">
        <v>19</v>
      </c>
      <c r="X11" s="192">
        <v>24</v>
      </c>
      <c r="Y11" s="192">
        <v>34</v>
      </c>
      <c r="Z11" s="192">
        <v>6</v>
      </c>
      <c r="AA11" s="130">
        <f>SUM(Tabla42[[#This Row],[2002]:[2024]])</f>
        <v>576</v>
      </c>
    </row>
    <row r="12" spans="3:27" ht="16.5" x14ac:dyDescent="0.25">
      <c r="C12" s="127" t="s">
        <v>10</v>
      </c>
      <c r="D12" s="194">
        <v>2</v>
      </c>
      <c r="E12" s="194">
        <v>1</v>
      </c>
      <c r="F12" s="194">
        <v>9</v>
      </c>
      <c r="G12" s="194">
        <v>7</v>
      </c>
      <c r="H12" s="194">
        <v>12</v>
      </c>
      <c r="I12" s="194">
        <v>24</v>
      </c>
      <c r="J12" s="194">
        <v>16</v>
      </c>
      <c r="K12" s="194">
        <v>34</v>
      </c>
      <c r="L12" s="194">
        <v>17</v>
      </c>
      <c r="M12" s="194">
        <v>12</v>
      </c>
      <c r="N12" s="194">
        <v>31</v>
      </c>
      <c r="O12" s="194">
        <v>22</v>
      </c>
      <c r="P12" s="194">
        <v>33</v>
      </c>
      <c r="Q12" s="194">
        <v>71</v>
      </c>
      <c r="R12" s="194">
        <v>28</v>
      </c>
      <c r="S12" s="194">
        <v>34</v>
      </c>
      <c r="T12" s="194">
        <v>35</v>
      </c>
      <c r="U12" s="194">
        <v>65</v>
      </c>
      <c r="V12" s="194">
        <v>38</v>
      </c>
      <c r="W12" s="194">
        <v>8</v>
      </c>
      <c r="X12" s="194">
        <v>45</v>
      </c>
      <c r="Y12" s="194">
        <v>17</v>
      </c>
      <c r="Z12" s="194">
        <v>7</v>
      </c>
      <c r="AA12" s="130">
        <f>SUM(Tabla42[[#This Row],[2002]:[2024]])</f>
        <v>568</v>
      </c>
    </row>
    <row r="13" spans="3:27" x14ac:dyDescent="0.25">
      <c r="C13" s="127" t="s">
        <v>11</v>
      </c>
      <c r="D13" s="192" t="s">
        <v>59</v>
      </c>
      <c r="E13" s="192">
        <v>1</v>
      </c>
      <c r="F13" s="192">
        <v>8</v>
      </c>
      <c r="G13" s="192">
        <v>2</v>
      </c>
      <c r="H13" s="192">
        <v>12</v>
      </c>
      <c r="I13" s="192">
        <v>8</v>
      </c>
      <c r="J13" s="192">
        <v>37</v>
      </c>
      <c r="K13" s="192">
        <v>2</v>
      </c>
      <c r="L13" s="192">
        <v>11</v>
      </c>
      <c r="M13" s="192">
        <v>1</v>
      </c>
      <c r="N13" s="192">
        <v>19</v>
      </c>
      <c r="O13" s="192">
        <v>63</v>
      </c>
      <c r="P13" s="192">
        <v>24</v>
      </c>
      <c r="Q13" s="192">
        <v>87</v>
      </c>
      <c r="R13" s="192">
        <v>28</v>
      </c>
      <c r="S13" s="192">
        <v>15</v>
      </c>
      <c r="T13" s="192">
        <v>32</v>
      </c>
      <c r="U13" s="192">
        <v>12</v>
      </c>
      <c r="V13" s="192">
        <v>31</v>
      </c>
      <c r="W13" s="192">
        <v>32</v>
      </c>
      <c r="X13" s="192">
        <v>13</v>
      </c>
      <c r="Y13" s="192">
        <v>28</v>
      </c>
      <c r="Z13" s="192">
        <v>20</v>
      </c>
      <c r="AA13" s="130">
        <f>SUM(Tabla42[[#This Row],[2002]:[2024]])</f>
        <v>486</v>
      </c>
    </row>
    <row r="14" spans="3:27" x14ac:dyDescent="0.25">
      <c r="C14" s="127" t="s">
        <v>14</v>
      </c>
      <c r="D14" s="194" t="s">
        <v>59</v>
      </c>
      <c r="E14" s="194">
        <v>1</v>
      </c>
      <c r="F14" s="194">
        <v>2</v>
      </c>
      <c r="G14" s="194">
        <v>1</v>
      </c>
      <c r="H14" s="194" t="s">
        <v>59</v>
      </c>
      <c r="I14" s="194">
        <v>3</v>
      </c>
      <c r="J14" s="194" t="s">
        <v>59</v>
      </c>
      <c r="K14" s="194">
        <v>4</v>
      </c>
      <c r="L14" s="194">
        <v>2</v>
      </c>
      <c r="M14" s="194">
        <v>1</v>
      </c>
      <c r="N14" s="194">
        <v>1</v>
      </c>
      <c r="O14" s="194">
        <v>3</v>
      </c>
      <c r="P14" s="194">
        <v>15</v>
      </c>
      <c r="Q14" s="194">
        <v>26</v>
      </c>
      <c r="R14" s="194">
        <v>28</v>
      </c>
      <c r="S14" s="194">
        <v>54</v>
      </c>
      <c r="T14" s="194">
        <v>72</v>
      </c>
      <c r="U14" s="194">
        <v>94</v>
      </c>
      <c r="V14" s="194">
        <v>22</v>
      </c>
      <c r="W14" s="194">
        <v>42</v>
      </c>
      <c r="X14" s="194">
        <v>31</v>
      </c>
      <c r="Y14" s="194">
        <v>46</v>
      </c>
      <c r="Z14" s="194">
        <v>33</v>
      </c>
      <c r="AA14" s="130">
        <f>SUM(Tabla42[[#This Row],[2002]:[2024]])</f>
        <v>481</v>
      </c>
    </row>
    <row r="15" spans="3:27" ht="24.75" x14ac:dyDescent="0.25">
      <c r="C15" s="127" t="s">
        <v>12</v>
      </c>
      <c r="D15" s="192">
        <v>4</v>
      </c>
      <c r="E15" s="192" t="s">
        <v>59</v>
      </c>
      <c r="F15" s="192">
        <v>1</v>
      </c>
      <c r="G15" s="192">
        <v>2</v>
      </c>
      <c r="H15" s="192">
        <v>4</v>
      </c>
      <c r="I15" s="192">
        <v>6</v>
      </c>
      <c r="J15" s="192">
        <v>8</v>
      </c>
      <c r="K15" s="192">
        <v>19</v>
      </c>
      <c r="L15" s="192">
        <v>16</v>
      </c>
      <c r="M15" s="192">
        <v>8</v>
      </c>
      <c r="N15" s="192">
        <v>8</v>
      </c>
      <c r="O15" s="192">
        <v>24</v>
      </c>
      <c r="P15" s="192">
        <v>13</v>
      </c>
      <c r="Q15" s="192">
        <v>41</v>
      </c>
      <c r="R15" s="192">
        <v>29</v>
      </c>
      <c r="S15" s="192">
        <v>40</v>
      </c>
      <c r="T15" s="192">
        <v>50</v>
      </c>
      <c r="U15" s="192">
        <v>16</v>
      </c>
      <c r="V15" s="192">
        <v>19</v>
      </c>
      <c r="W15" s="192">
        <v>21</v>
      </c>
      <c r="X15" s="192">
        <v>37</v>
      </c>
      <c r="Y15" s="192">
        <v>57</v>
      </c>
      <c r="Z15" s="192">
        <v>27</v>
      </c>
      <c r="AA15" s="130">
        <f>SUM(Tabla42[[#This Row],[2002]:[2024]])</f>
        <v>450</v>
      </c>
    </row>
    <row r="16" spans="3:27" x14ac:dyDescent="0.25">
      <c r="C16" s="127" t="s">
        <v>15</v>
      </c>
      <c r="D16" s="194">
        <v>2</v>
      </c>
      <c r="E16" s="194" t="s">
        <v>59</v>
      </c>
      <c r="F16" s="194">
        <v>5</v>
      </c>
      <c r="G16" s="194">
        <v>7</v>
      </c>
      <c r="H16" s="194">
        <v>1</v>
      </c>
      <c r="I16" s="194">
        <v>6</v>
      </c>
      <c r="J16" s="194">
        <v>3</v>
      </c>
      <c r="K16" s="194" t="s">
        <v>59</v>
      </c>
      <c r="L16" s="194">
        <v>1</v>
      </c>
      <c r="M16" s="194" t="s">
        <v>59</v>
      </c>
      <c r="N16" s="194">
        <v>8</v>
      </c>
      <c r="O16" s="194">
        <v>18</v>
      </c>
      <c r="P16" s="194">
        <v>15</v>
      </c>
      <c r="Q16" s="194">
        <v>89</v>
      </c>
      <c r="R16" s="194">
        <v>27</v>
      </c>
      <c r="S16" s="194">
        <v>7</v>
      </c>
      <c r="T16" s="194">
        <v>15</v>
      </c>
      <c r="U16" s="194">
        <v>26</v>
      </c>
      <c r="V16" s="194">
        <v>28</v>
      </c>
      <c r="W16" s="194">
        <v>18</v>
      </c>
      <c r="X16" s="194">
        <v>7</v>
      </c>
      <c r="Y16" s="194">
        <v>4</v>
      </c>
      <c r="Z16" s="194">
        <v>6</v>
      </c>
      <c r="AA16" s="130">
        <f>SUM(Tabla42[[#This Row],[2002]:[2024]])</f>
        <v>293</v>
      </c>
    </row>
    <row r="17" spans="3:27" ht="33" x14ac:dyDescent="0.25">
      <c r="C17" s="127" t="s">
        <v>23</v>
      </c>
      <c r="D17" s="192" t="s">
        <v>59</v>
      </c>
      <c r="E17" s="192" t="s">
        <v>59</v>
      </c>
      <c r="F17" s="192" t="s">
        <v>59</v>
      </c>
      <c r="G17" s="192" t="s">
        <v>59</v>
      </c>
      <c r="H17" s="192">
        <v>6</v>
      </c>
      <c r="I17" s="192">
        <v>3</v>
      </c>
      <c r="J17" s="192">
        <v>3</v>
      </c>
      <c r="K17" s="192" t="s">
        <v>59</v>
      </c>
      <c r="L17" s="192">
        <v>22</v>
      </c>
      <c r="M17" s="192">
        <v>37</v>
      </c>
      <c r="N17" s="192">
        <v>21</v>
      </c>
      <c r="O17" s="192">
        <v>6</v>
      </c>
      <c r="P17" s="192">
        <v>4</v>
      </c>
      <c r="Q17" s="192">
        <v>5</v>
      </c>
      <c r="R17" s="192">
        <v>22</v>
      </c>
      <c r="S17" s="192">
        <v>15</v>
      </c>
      <c r="T17" s="192">
        <v>26</v>
      </c>
      <c r="U17" s="192">
        <v>3</v>
      </c>
      <c r="V17" s="192">
        <v>4</v>
      </c>
      <c r="W17" s="192">
        <v>15</v>
      </c>
      <c r="X17" s="192">
        <v>31</v>
      </c>
      <c r="Y17" s="192">
        <v>23</v>
      </c>
      <c r="Z17" s="192">
        <v>5</v>
      </c>
      <c r="AA17" s="130">
        <f>SUM(Tabla42[[#This Row],[2002]:[2024]])</f>
        <v>251</v>
      </c>
    </row>
    <row r="18" spans="3:27" x14ac:dyDescent="0.25">
      <c r="C18" s="127" t="s">
        <v>24</v>
      </c>
      <c r="D18" s="194" t="s">
        <v>59</v>
      </c>
      <c r="E18" s="194">
        <v>1</v>
      </c>
      <c r="F18" s="194">
        <v>1</v>
      </c>
      <c r="G18" s="194" t="s">
        <v>59</v>
      </c>
      <c r="H18" s="194">
        <v>3</v>
      </c>
      <c r="I18" s="194">
        <v>1</v>
      </c>
      <c r="J18" s="194" t="s">
        <v>59</v>
      </c>
      <c r="K18" s="194">
        <v>2</v>
      </c>
      <c r="L18" s="194">
        <v>4</v>
      </c>
      <c r="M18" s="194">
        <v>8</v>
      </c>
      <c r="N18" s="194">
        <v>9</v>
      </c>
      <c r="O18" s="194" t="s">
        <v>59</v>
      </c>
      <c r="P18" s="194">
        <v>2</v>
      </c>
      <c r="Q18" s="194">
        <v>38</v>
      </c>
      <c r="R18" s="194">
        <v>11</v>
      </c>
      <c r="S18" s="194">
        <v>17</v>
      </c>
      <c r="T18" s="194">
        <v>16</v>
      </c>
      <c r="U18" s="194">
        <v>33</v>
      </c>
      <c r="V18" s="194">
        <v>7</v>
      </c>
      <c r="W18" s="194">
        <v>4</v>
      </c>
      <c r="X18" s="194" t="s">
        <v>59</v>
      </c>
      <c r="Y18" s="194">
        <v>1</v>
      </c>
      <c r="Z18" s="194">
        <v>1</v>
      </c>
      <c r="AA18" s="130">
        <f>SUM(Tabla42[[#This Row],[2002]:[2024]])</f>
        <v>159</v>
      </c>
    </row>
    <row r="19" spans="3:27" x14ac:dyDescent="0.25">
      <c r="C19" s="127" t="s">
        <v>18</v>
      </c>
      <c r="D19" s="192" t="s">
        <v>59</v>
      </c>
      <c r="E19" s="192">
        <v>1</v>
      </c>
      <c r="F19" s="192" t="s">
        <v>59</v>
      </c>
      <c r="G19" s="192">
        <v>1</v>
      </c>
      <c r="H19" s="192" t="s">
        <v>59</v>
      </c>
      <c r="I19" s="192">
        <v>6</v>
      </c>
      <c r="J19" s="192">
        <v>2</v>
      </c>
      <c r="K19" s="192" t="s">
        <v>59</v>
      </c>
      <c r="L19" s="192">
        <v>3</v>
      </c>
      <c r="M19" s="192">
        <v>3</v>
      </c>
      <c r="N19" s="192">
        <v>8</v>
      </c>
      <c r="O19" s="192">
        <v>32</v>
      </c>
      <c r="P19" s="192">
        <v>16</v>
      </c>
      <c r="Q19" s="192">
        <v>5</v>
      </c>
      <c r="R19" s="192">
        <v>22</v>
      </c>
      <c r="S19" s="192">
        <v>9</v>
      </c>
      <c r="T19" s="192">
        <v>8</v>
      </c>
      <c r="U19" s="192">
        <v>6</v>
      </c>
      <c r="V19" s="192">
        <v>28</v>
      </c>
      <c r="W19" s="192">
        <v>2</v>
      </c>
      <c r="X19" s="192" t="s">
        <v>59</v>
      </c>
      <c r="Y19" s="192">
        <v>1</v>
      </c>
      <c r="Z19" s="192">
        <v>1</v>
      </c>
      <c r="AA19" s="130">
        <f>SUM(Tabla42[[#This Row],[2002]:[2024]])</f>
        <v>154</v>
      </c>
    </row>
    <row r="20" spans="3:27" ht="24.75" x14ac:dyDescent="0.25">
      <c r="C20" s="127" t="s">
        <v>19</v>
      </c>
      <c r="D20" s="194">
        <v>4</v>
      </c>
      <c r="E20" s="194">
        <v>3</v>
      </c>
      <c r="F20" s="194">
        <v>3</v>
      </c>
      <c r="G20" s="194" t="s">
        <v>59</v>
      </c>
      <c r="H20" s="194">
        <v>1</v>
      </c>
      <c r="I20" s="194">
        <v>4</v>
      </c>
      <c r="J20" s="194">
        <v>1</v>
      </c>
      <c r="K20" s="194">
        <v>2</v>
      </c>
      <c r="L20" s="194" t="s">
        <v>59</v>
      </c>
      <c r="M20" s="194">
        <v>3</v>
      </c>
      <c r="N20" s="194">
        <v>10</v>
      </c>
      <c r="O20" s="194">
        <v>39</v>
      </c>
      <c r="P20" s="194">
        <v>5</v>
      </c>
      <c r="Q20" s="194">
        <v>7</v>
      </c>
      <c r="R20" s="194">
        <v>4</v>
      </c>
      <c r="S20" s="194">
        <v>5</v>
      </c>
      <c r="T20" s="194">
        <v>19</v>
      </c>
      <c r="U20" s="194">
        <v>11</v>
      </c>
      <c r="V20" s="194">
        <v>8</v>
      </c>
      <c r="W20" s="194" t="s">
        <v>59</v>
      </c>
      <c r="X20" s="194">
        <v>6</v>
      </c>
      <c r="Y20" s="194" t="s">
        <v>59</v>
      </c>
      <c r="Z20" s="194">
        <v>3</v>
      </c>
      <c r="AA20" s="130">
        <f>SUM(Tabla42[[#This Row],[2002]:[2024]])</f>
        <v>138</v>
      </c>
    </row>
    <row r="21" spans="3:27" x14ac:dyDescent="0.25">
      <c r="C21" s="127" t="s">
        <v>22</v>
      </c>
      <c r="D21" s="192" t="s">
        <v>59</v>
      </c>
      <c r="E21" s="192">
        <v>4</v>
      </c>
      <c r="F21" s="192">
        <v>8</v>
      </c>
      <c r="G21" s="192">
        <v>3</v>
      </c>
      <c r="H21" s="192">
        <v>2</v>
      </c>
      <c r="I21" s="192">
        <v>1</v>
      </c>
      <c r="J21" s="192" t="s">
        <v>59</v>
      </c>
      <c r="K21" s="192">
        <v>3</v>
      </c>
      <c r="L21" s="192" t="s">
        <v>59</v>
      </c>
      <c r="M21" s="192">
        <v>1</v>
      </c>
      <c r="N21" s="192">
        <v>7</v>
      </c>
      <c r="O21" s="192">
        <v>10</v>
      </c>
      <c r="P21" s="192">
        <v>4</v>
      </c>
      <c r="Q21" s="192">
        <v>13</v>
      </c>
      <c r="R21" s="192">
        <v>6</v>
      </c>
      <c r="S21" s="192">
        <v>16</v>
      </c>
      <c r="T21" s="192">
        <v>17</v>
      </c>
      <c r="U21" s="192">
        <v>6</v>
      </c>
      <c r="V21" s="192">
        <v>7</v>
      </c>
      <c r="W21" s="192">
        <v>4</v>
      </c>
      <c r="X21" s="192">
        <v>11</v>
      </c>
      <c r="Y21" s="192">
        <v>6</v>
      </c>
      <c r="Z21" s="192">
        <v>3</v>
      </c>
      <c r="AA21" s="130">
        <f>SUM(Tabla42[[#This Row],[2002]:[2024]])</f>
        <v>132</v>
      </c>
    </row>
    <row r="22" spans="3:27" x14ac:dyDescent="0.25">
      <c r="C22" s="127" t="s">
        <v>20</v>
      </c>
      <c r="D22" s="194">
        <v>4</v>
      </c>
      <c r="E22" s="194">
        <v>1</v>
      </c>
      <c r="F22" s="194" t="s">
        <v>59</v>
      </c>
      <c r="G22" s="194" t="s">
        <v>59</v>
      </c>
      <c r="H22" s="194">
        <v>2</v>
      </c>
      <c r="I22" s="194">
        <v>7</v>
      </c>
      <c r="J22" s="194" t="s">
        <v>59</v>
      </c>
      <c r="K22" s="194" t="s">
        <v>59</v>
      </c>
      <c r="L22" s="194" t="s">
        <v>59</v>
      </c>
      <c r="M22" s="194">
        <v>1</v>
      </c>
      <c r="N22" s="194">
        <v>5</v>
      </c>
      <c r="O22" s="194">
        <v>1</v>
      </c>
      <c r="P22" s="194">
        <v>1</v>
      </c>
      <c r="Q22" s="194" t="s">
        <v>59</v>
      </c>
      <c r="R22" s="194" t="s">
        <v>59</v>
      </c>
      <c r="S22" s="194">
        <v>4</v>
      </c>
      <c r="T22" s="194">
        <v>1</v>
      </c>
      <c r="U22" s="194">
        <v>13</v>
      </c>
      <c r="V22" s="194">
        <v>12</v>
      </c>
      <c r="W22" s="194">
        <v>17</v>
      </c>
      <c r="X22" s="194">
        <v>17</v>
      </c>
      <c r="Y22" s="194">
        <v>26</v>
      </c>
      <c r="Z22" s="194">
        <v>5</v>
      </c>
      <c r="AA22" s="130">
        <f>SUM(Tabla42[[#This Row],[2002]:[2024]])</f>
        <v>117</v>
      </c>
    </row>
    <row r="23" spans="3:27" ht="33" x14ac:dyDescent="0.25">
      <c r="C23" s="127" t="s">
        <v>25</v>
      </c>
      <c r="D23" s="192" t="s">
        <v>59</v>
      </c>
      <c r="E23" s="192" t="s">
        <v>59</v>
      </c>
      <c r="F23" s="192" t="s">
        <v>59</v>
      </c>
      <c r="G23" s="192">
        <v>1</v>
      </c>
      <c r="H23" s="192">
        <v>18</v>
      </c>
      <c r="I23" s="192">
        <v>3</v>
      </c>
      <c r="J23" s="192">
        <v>3</v>
      </c>
      <c r="K23" s="192">
        <v>2</v>
      </c>
      <c r="L23" s="192">
        <v>12</v>
      </c>
      <c r="M23" s="192">
        <v>7</v>
      </c>
      <c r="N23" s="192" t="s">
        <v>59</v>
      </c>
      <c r="O23" s="192">
        <v>9</v>
      </c>
      <c r="P23" s="192">
        <v>4</v>
      </c>
      <c r="Q23" s="192">
        <v>1</v>
      </c>
      <c r="R23" s="192" t="s">
        <v>59</v>
      </c>
      <c r="S23" s="192">
        <v>1</v>
      </c>
      <c r="T23" s="192">
        <v>7</v>
      </c>
      <c r="U23" s="192">
        <v>15</v>
      </c>
      <c r="V23" s="192" t="s">
        <v>59</v>
      </c>
      <c r="W23" s="192">
        <v>9</v>
      </c>
      <c r="X23" s="192">
        <v>7</v>
      </c>
      <c r="Y23" s="192">
        <v>5</v>
      </c>
      <c r="Z23" s="192">
        <v>10</v>
      </c>
      <c r="AA23" s="130">
        <f>SUM(Tabla42[[#This Row],[2002]:[2024]])</f>
        <v>114</v>
      </c>
    </row>
    <row r="24" spans="3:27" ht="16.5" x14ac:dyDescent="0.25">
      <c r="C24" s="127" t="s">
        <v>21</v>
      </c>
      <c r="D24" s="194" t="s">
        <v>59</v>
      </c>
      <c r="E24" s="194" t="s">
        <v>59</v>
      </c>
      <c r="F24" s="194" t="s">
        <v>59</v>
      </c>
      <c r="G24" s="194" t="s">
        <v>59</v>
      </c>
      <c r="H24" s="194" t="s">
        <v>59</v>
      </c>
      <c r="I24" s="194" t="s">
        <v>59</v>
      </c>
      <c r="J24" s="194" t="s">
        <v>59</v>
      </c>
      <c r="K24" s="194" t="s">
        <v>59</v>
      </c>
      <c r="L24" s="194" t="s">
        <v>59</v>
      </c>
      <c r="M24" s="194" t="s">
        <v>59</v>
      </c>
      <c r="N24" s="194">
        <v>4</v>
      </c>
      <c r="O24" s="194">
        <v>2</v>
      </c>
      <c r="P24" s="194">
        <v>2</v>
      </c>
      <c r="Q24" s="194" t="s">
        <v>59</v>
      </c>
      <c r="R24" s="194">
        <v>1</v>
      </c>
      <c r="S24" s="194">
        <v>4</v>
      </c>
      <c r="T24" s="194">
        <v>9</v>
      </c>
      <c r="U24" s="194">
        <v>7</v>
      </c>
      <c r="V24" s="194">
        <v>17</v>
      </c>
      <c r="W24" s="194">
        <v>5</v>
      </c>
      <c r="X24" s="194">
        <v>27</v>
      </c>
      <c r="Y24" s="194">
        <v>18</v>
      </c>
      <c r="Z24" s="194">
        <v>1</v>
      </c>
      <c r="AA24" s="130">
        <f>SUM(Tabla42[[#This Row],[2002]:[2024]])</f>
        <v>97</v>
      </c>
    </row>
    <row r="25" spans="3:27" ht="16.5" x14ac:dyDescent="0.25">
      <c r="C25" s="127" t="s">
        <v>17</v>
      </c>
      <c r="D25" s="192">
        <v>1</v>
      </c>
      <c r="E25" s="192" t="s">
        <v>59</v>
      </c>
      <c r="F25" s="192">
        <v>1</v>
      </c>
      <c r="G25" s="192">
        <v>1</v>
      </c>
      <c r="H25" s="192" t="s">
        <v>59</v>
      </c>
      <c r="I25" s="192">
        <v>4</v>
      </c>
      <c r="J25" s="192" t="s">
        <v>59</v>
      </c>
      <c r="K25" s="192">
        <v>7</v>
      </c>
      <c r="L25" s="192">
        <v>4</v>
      </c>
      <c r="M25" s="192" t="s">
        <v>59</v>
      </c>
      <c r="N25" s="192">
        <v>13</v>
      </c>
      <c r="O25" s="192">
        <v>6</v>
      </c>
      <c r="P25" s="192">
        <v>2</v>
      </c>
      <c r="Q25" s="192">
        <v>7</v>
      </c>
      <c r="R25" s="192">
        <v>7</v>
      </c>
      <c r="S25" s="192">
        <v>8</v>
      </c>
      <c r="T25" s="192">
        <v>5</v>
      </c>
      <c r="U25" s="192" t="s">
        <v>59</v>
      </c>
      <c r="V25" s="192" t="s">
        <v>59</v>
      </c>
      <c r="W25" s="192">
        <v>2</v>
      </c>
      <c r="X25" s="192">
        <v>3</v>
      </c>
      <c r="Y25" s="192">
        <v>10</v>
      </c>
      <c r="Z25" s="192">
        <v>7</v>
      </c>
      <c r="AA25" s="130">
        <f>SUM(Tabla42[[#This Row],[2002]:[2024]])</f>
        <v>88</v>
      </c>
    </row>
    <row r="26" spans="3:27" x14ac:dyDescent="0.25">
      <c r="C26" s="127" t="s">
        <v>16</v>
      </c>
      <c r="D26" s="194">
        <v>12</v>
      </c>
      <c r="E26" s="194">
        <v>9</v>
      </c>
      <c r="F26" s="194">
        <v>2</v>
      </c>
      <c r="G26" s="194">
        <v>3</v>
      </c>
      <c r="H26" s="194">
        <v>8</v>
      </c>
      <c r="I26" s="194">
        <v>2</v>
      </c>
      <c r="J26" s="194">
        <v>4</v>
      </c>
      <c r="K26" s="194" t="s">
        <v>59</v>
      </c>
      <c r="L26" s="194" t="s">
        <v>59</v>
      </c>
      <c r="M26" s="194">
        <v>2</v>
      </c>
      <c r="N26" s="194" t="s">
        <v>59</v>
      </c>
      <c r="O26" s="194" t="s">
        <v>59</v>
      </c>
      <c r="P26" s="194">
        <v>2</v>
      </c>
      <c r="Q26" s="194">
        <v>5</v>
      </c>
      <c r="R26" s="194">
        <v>9</v>
      </c>
      <c r="S26" s="194">
        <v>6</v>
      </c>
      <c r="T26" s="194">
        <v>3</v>
      </c>
      <c r="U26" s="194" t="s">
        <v>59</v>
      </c>
      <c r="V26" s="194">
        <v>7</v>
      </c>
      <c r="W26" s="194" t="s">
        <v>59</v>
      </c>
      <c r="X26" s="194">
        <v>1</v>
      </c>
      <c r="Y26" s="194">
        <v>3</v>
      </c>
      <c r="Z26" s="194">
        <v>1</v>
      </c>
      <c r="AA26" s="130">
        <f>SUM(Tabla42[[#This Row],[2002]:[2024]])</f>
        <v>79</v>
      </c>
    </row>
    <row r="27" spans="3:27" x14ac:dyDescent="0.25">
      <c r="C27" s="127" t="s">
        <v>26</v>
      </c>
      <c r="D27" s="195" t="s">
        <v>59</v>
      </c>
      <c r="E27" s="192">
        <v>4</v>
      </c>
      <c r="F27" s="192">
        <v>7</v>
      </c>
      <c r="G27" s="192" t="s">
        <v>59</v>
      </c>
      <c r="H27" s="192" t="s">
        <v>59</v>
      </c>
      <c r="I27" s="192" t="s">
        <v>59</v>
      </c>
      <c r="J27" s="192" t="s">
        <v>59</v>
      </c>
      <c r="K27" s="192" t="s">
        <v>59</v>
      </c>
      <c r="L27" s="192" t="s">
        <v>59</v>
      </c>
      <c r="M27" s="192" t="s">
        <v>59</v>
      </c>
      <c r="N27" s="192" t="s">
        <v>59</v>
      </c>
      <c r="O27" s="192">
        <v>2</v>
      </c>
      <c r="P27" s="192">
        <v>3</v>
      </c>
      <c r="Q27" s="192">
        <v>3</v>
      </c>
      <c r="R27" s="192">
        <v>3</v>
      </c>
      <c r="S27" s="192" t="s">
        <v>59</v>
      </c>
      <c r="T27" s="192">
        <v>11</v>
      </c>
      <c r="U27" s="192" t="s">
        <v>59</v>
      </c>
      <c r="V27" s="192">
        <v>1</v>
      </c>
      <c r="W27" s="196">
        <v>4</v>
      </c>
      <c r="X27" s="192">
        <v>1</v>
      </c>
      <c r="Y27" s="192">
        <v>1</v>
      </c>
      <c r="Z27" s="192">
        <v>17</v>
      </c>
      <c r="AA27" s="130">
        <f>SUM(Tabla42[[#This Row],[2002]:[2024]])</f>
        <v>57</v>
      </c>
    </row>
    <row r="28" spans="3:27" ht="16.5" x14ac:dyDescent="0.25">
      <c r="C28" s="127" t="s">
        <v>29</v>
      </c>
      <c r="D28" s="197" t="s">
        <v>59</v>
      </c>
      <c r="E28" s="194" t="s">
        <v>59</v>
      </c>
      <c r="F28" s="194">
        <v>1</v>
      </c>
      <c r="G28" s="194" t="s">
        <v>59</v>
      </c>
      <c r="H28" s="194">
        <v>1</v>
      </c>
      <c r="I28" s="194" t="s">
        <v>59</v>
      </c>
      <c r="J28" s="194">
        <v>1</v>
      </c>
      <c r="K28" s="194" t="s">
        <v>59</v>
      </c>
      <c r="L28" s="194" t="s">
        <v>59</v>
      </c>
      <c r="M28" s="194" t="s">
        <v>59</v>
      </c>
      <c r="N28" s="194">
        <v>1</v>
      </c>
      <c r="O28" s="194" t="s">
        <v>59</v>
      </c>
      <c r="P28" s="194">
        <v>3</v>
      </c>
      <c r="Q28" s="194">
        <v>24</v>
      </c>
      <c r="R28" s="194">
        <v>10</v>
      </c>
      <c r="S28" s="194">
        <v>5</v>
      </c>
      <c r="T28" s="194">
        <v>1</v>
      </c>
      <c r="U28" s="194">
        <v>1</v>
      </c>
      <c r="V28" s="194">
        <v>3</v>
      </c>
      <c r="W28" s="198">
        <v>1</v>
      </c>
      <c r="X28" s="194">
        <v>1</v>
      </c>
      <c r="Y28" s="194" t="s">
        <v>59</v>
      </c>
      <c r="Z28" s="194" t="s">
        <v>59</v>
      </c>
      <c r="AA28" s="130">
        <f>SUM(Tabla42[[#This Row],[2002]:[2024]])</f>
        <v>53</v>
      </c>
    </row>
    <row r="29" spans="3:27" ht="16.5" x14ac:dyDescent="0.25">
      <c r="C29" s="127" t="s">
        <v>31</v>
      </c>
      <c r="D29" s="195" t="s">
        <v>59</v>
      </c>
      <c r="E29" s="192" t="s">
        <v>59</v>
      </c>
      <c r="F29" s="192">
        <v>1</v>
      </c>
      <c r="G29" s="192" t="s">
        <v>59</v>
      </c>
      <c r="H29" s="192">
        <v>2</v>
      </c>
      <c r="I29" s="192">
        <v>5</v>
      </c>
      <c r="J29" s="192" t="s">
        <v>59</v>
      </c>
      <c r="K29" s="192" t="s">
        <v>59</v>
      </c>
      <c r="L29" s="192" t="s">
        <v>59</v>
      </c>
      <c r="M29" s="192" t="s">
        <v>59</v>
      </c>
      <c r="N29" s="192" t="s">
        <v>59</v>
      </c>
      <c r="O29" s="192" t="s">
        <v>59</v>
      </c>
      <c r="P29" s="192" t="s">
        <v>59</v>
      </c>
      <c r="Q29" s="192" t="s">
        <v>59</v>
      </c>
      <c r="R29" s="192" t="s">
        <v>59</v>
      </c>
      <c r="S29" s="192">
        <v>7</v>
      </c>
      <c r="T29" s="192">
        <v>20</v>
      </c>
      <c r="U29" s="192">
        <v>1</v>
      </c>
      <c r="V29" s="192" t="s">
        <v>59</v>
      </c>
      <c r="W29" s="196" t="s">
        <v>59</v>
      </c>
      <c r="X29" s="192" t="s">
        <v>59</v>
      </c>
      <c r="Y29" s="192" t="s">
        <v>59</v>
      </c>
      <c r="Z29" s="192" t="s">
        <v>59</v>
      </c>
      <c r="AA29" s="130">
        <f>SUM(Tabla42[[#This Row],[2002]:[2024]])</f>
        <v>36</v>
      </c>
    </row>
    <row r="30" spans="3:27" ht="24.75" x14ac:dyDescent="0.25">
      <c r="C30" s="127" t="s">
        <v>27</v>
      </c>
      <c r="D30" s="197" t="s">
        <v>59</v>
      </c>
      <c r="E30" s="194" t="s">
        <v>59</v>
      </c>
      <c r="F30" s="194" t="s">
        <v>59</v>
      </c>
      <c r="G30" s="194" t="s">
        <v>59</v>
      </c>
      <c r="H30" s="194" t="s">
        <v>59</v>
      </c>
      <c r="I30" s="194">
        <v>1</v>
      </c>
      <c r="J30" s="194" t="s">
        <v>59</v>
      </c>
      <c r="K30" s="194" t="s">
        <v>59</v>
      </c>
      <c r="L30" s="194">
        <v>1</v>
      </c>
      <c r="M30" s="194" t="s">
        <v>59</v>
      </c>
      <c r="N30" s="194" t="s">
        <v>59</v>
      </c>
      <c r="O30" s="194" t="s">
        <v>59</v>
      </c>
      <c r="P30" s="194" t="s">
        <v>59</v>
      </c>
      <c r="Q30" s="194">
        <v>1</v>
      </c>
      <c r="R30" s="194" t="s">
        <v>59</v>
      </c>
      <c r="S30" s="194" t="s">
        <v>59</v>
      </c>
      <c r="T30" s="194" t="s">
        <v>59</v>
      </c>
      <c r="U30" s="194">
        <v>8</v>
      </c>
      <c r="V30" s="194">
        <v>8</v>
      </c>
      <c r="W30" s="198">
        <v>6</v>
      </c>
      <c r="X30" s="194">
        <v>4</v>
      </c>
      <c r="Y30" s="194" t="s">
        <v>59</v>
      </c>
      <c r="Z30" s="194" t="s">
        <v>59</v>
      </c>
      <c r="AA30" s="130">
        <f>SUM(Tabla42[[#This Row],[2002]:[2024]])</f>
        <v>29</v>
      </c>
    </row>
    <row r="31" spans="3:27" ht="24.75" x14ac:dyDescent="0.25">
      <c r="C31" s="127" t="s">
        <v>30</v>
      </c>
      <c r="D31" s="195" t="s">
        <v>59</v>
      </c>
      <c r="E31" s="192">
        <v>6</v>
      </c>
      <c r="F31" s="192" t="s">
        <v>59</v>
      </c>
      <c r="G31" s="192">
        <v>1</v>
      </c>
      <c r="H31" s="192">
        <v>1</v>
      </c>
      <c r="I31" s="192" t="s">
        <v>59</v>
      </c>
      <c r="J31" s="192">
        <v>3</v>
      </c>
      <c r="K31" s="192" t="s">
        <v>59</v>
      </c>
      <c r="L31" s="192" t="s">
        <v>59</v>
      </c>
      <c r="M31" s="192">
        <v>1</v>
      </c>
      <c r="N31" s="192">
        <v>3</v>
      </c>
      <c r="O31" s="192">
        <v>1</v>
      </c>
      <c r="P31" s="192" t="s">
        <v>59</v>
      </c>
      <c r="Q31" s="192" t="s">
        <v>59</v>
      </c>
      <c r="R31" s="192">
        <v>2</v>
      </c>
      <c r="S31" s="192">
        <v>2</v>
      </c>
      <c r="T31" s="192" t="s">
        <v>59</v>
      </c>
      <c r="U31" s="192">
        <v>3</v>
      </c>
      <c r="V31" s="192" t="s">
        <v>59</v>
      </c>
      <c r="W31" s="196" t="s">
        <v>59</v>
      </c>
      <c r="X31" s="192" t="s">
        <v>59</v>
      </c>
      <c r="Y31" s="192" t="s">
        <v>59</v>
      </c>
      <c r="Z31" s="192" t="s">
        <v>59</v>
      </c>
      <c r="AA31" s="130">
        <f>SUM(Tabla42[[#This Row],[2002]:[2024]])</f>
        <v>23</v>
      </c>
    </row>
    <row r="32" spans="3:27" ht="16.5" x14ac:dyDescent="0.25">
      <c r="C32" s="127" t="s">
        <v>32</v>
      </c>
      <c r="D32" s="197" t="s">
        <v>59</v>
      </c>
      <c r="E32" s="194" t="s">
        <v>59</v>
      </c>
      <c r="F32" s="194" t="s">
        <v>59</v>
      </c>
      <c r="G32" s="194">
        <v>3</v>
      </c>
      <c r="H32" s="194" t="s">
        <v>59</v>
      </c>
      <c r="I32" s="194" t="s">
        <v>59</v>
      </c>
      <c r="J32" s="194" t="s">
        <v>59</v>
      </c>
      <c r="K32" s="194" t="s">
        <v>59</v>
      </c>
      <c r="L32" s="194" t="s">
        <v>59</v>
      </c>
      <c r="M32" s="194" t="s">
        <v>59</v>
      </c>
      <c r="N32" s="194">
        <v>1</v>
      </c>
      <c r="O32" s="194" t="s">
        <v>59</v>
      </c>
      <c r="P32" s="194" t="s">
        <v>59</v>
      </c>
      <c r="Q32" s="194" t="s">
        <v>59</v>
      </c>
      <c r="R32" s="194" t="s">
        <v>59</v>
      </c>
      <c r="S32" s="194" t="s">
        <v>59</v>
      </c>
      <c r="T32" s="194">
        <v>4</v>
      </c>
      <c r="U32" s="194" t="s">
        <v>59</v>
      </c>
      <c r="V32" s="194" t="s">
        <v>59</v>
      </c>
      <c r="W32" s="198" t="s">
        <v>59</v>
      </c>
      <c r="X32" s="194" t="s">
        <v>59</v>
      </c>
      <c r="Y32" s="194" t="s">
        <v>59</v>
      </c>
      <c r="Z32" s="194" t="s">
        <v>59</v>
      </c>
      <c r="AA32" s="130">
        <f>SUM(Tabla42[[#This Row],[2002]:[2024]])</f>
        <v>8</v>
      </c>
    </row>
    <row r="33" spans="3:27" ht="24.75" x14ac:dyDescent="0.25">
      <c r="C33" s="127" t="s">
        <v>28</v>
      </c>
      <c r="D33" s="192" t="s">
        <v>59</v>
      </c>
      <c r="E33" s="192">
        <v>1</v>
      </c>
      <c r="F33" s="192" t="s">
        <v>59</v>
      </c>
      <c r="G33" s="192" t="s">
        <v>59</v>
      </c>
      <c r="H33" s="192" t="s">
        <v>59</v>
      </c>
      <c r="I33" s="192" t="s">
        <v>59</v>
      </c>
      <c r="J33" s="192" t="s">
        <v>59</v>
      </c>
      <c r="K33" s="192" t="s">
        <v>59</v>
      </c>
      <c r="L33" s="192" t="s">
        <v>59</v>
      </c>
      <c r="M33" s="192" t="s">
        <v>59</v>
      </c>
      <c r="N33" s="192" t="s">
        <v>59</v>
      </c>
      <c r="O33" s="192" t="s">
        <v>59</v>
      </c>
      <c r="P33" s="192" t="s">
        <v>59</v>
      </c>
      <c r="Q33" s="192" t="s">
        <v>59</v>
      </c>
      <c r="R33" s="192" t="s">
        <v>59</v>
      </c>
      <c r="S33" s="192" t="s">
        <v>59</v>
      </c>
      <c r="T33" s="192" t="s">
        <v>59</v>
      </c>
      <c r="U33" s="192" t="s">
        <v>59</v>
      </c>
      <c r="V33" s="192" t="s">
        <v>59</v>
      </c>
      <c r="W33" s="192" t="s">
        <v>59</v>
      </c>
      <c r="X33" s="192" t="s">
        <v>59</v>
      </c>
      <c r="Y33" s="192" t="s">
        <v>59</v>
      </c>
      <c r="Z33" s="192" t="s">
        <v>59</v>
      </c>
      <c r="AA33" s="130">
        <f>SUM(Tabla42[[#This Row],[2002]:[2024]])</f>
        <v>1</v>
      </c>
    </row>
    <row r="34" spans="3:27" x14ac:dyDescent="0.25">
      <c r="C34" s="199" t="s">
        <v>34</v>
      </c>
      <c r="D34" s="200">
        <f>SUBTOTAL(109,Tabla42[2002])</f>
        <v>102</v>
      </c>
      <c r="E34" s="200">
        <f>SUBTOTAL(109,Tabla42[2003])</f>
        <v>192</v>
      </c>
      <c r="F34" s="200">
        <f>SUBTOTAL(109,Tabla42[2004])</f>
        <v>332</v>
      </c>
      <c r="G34" s="200">
        <f>SUBTOTAL(109,Tabla42[2005])</f>
        <v>285</v>
      </c>
      <c r="H34" s="200">
        <f>SUBTOTAL(109,Tabla42[2006])</f>
        <v>360</v>
      </c>
      <c r="I34" s="200">
        <f>SUBTOTAL(109,Tabla42[2007])</f>
        <v>1174</v>
      </c>
      <c r="J34" s="200">
        <f>SUBTOTAL(109,Tabla42[2008])</f>
        <v>1109</v>
      </c>
      <c r="K34" s="200">
        <f>SUBTOTAL(109,Tabla42[2009])</f>
        <v>996</v>
      </c>
      <c r="L34" s="200">
        <f>SUBTOTAL(109,Tabla42[2010])</f>
        <v>1337</v>
      </c>
      <c r="M34" s="200">
        <f>SUBTOTAL(109,Tabla42[2011])</f>
        <v>1239</v>
      </c>
      <c r="N34" s="200">
        <f>SUBTOTAL(109,Tabla42[2012])</f>
        <v>1910</v>
      </c>
      <c r="O34" s="200">
        <f>SUBTOTAL(109,Tabla42[2013])</f>
        <v>2033</v>
      </c>
      <c r="P34" s="200">
        <f>SUBTOTAL(109,Tabla42[2014])</f>
        <v>2226</v>
      </c>
      <c r="Q34" s="200">
        <f>SUBTOTAL(109,Tabla42[2015])</f>
        <v>2782</v>
      </c>
      <c r="R34" s="200">
        <f>SUBTOTAL(109,Tabla42[2016])</f>
        <v>2810</v>
      </c>
      <c r="S34" s="200">
        <f>SUBTOTAL(109,Tabla42[2017])</f>
        <v>2058</v>
      </c>
      <c r="T34" s="200">
        <f>SUBTOTAL(109,Tabla42[2018])</f>
        <v>2557</v>
      </c>
      <c r="U34" s="200">
        <f>SUBTOTAL(109,Tabla42[2019])</f>
        <v>1628</v>
      </c>
      <c r="V34" s="200">
        <f>SUBTOTAL(109,Tabla42[2020])</f>
        <v>1333</v>
      </c>
      <c r="W34" s="200">
        <f>SUBTOTAL(109,Tabla42[2021])</f>
        <v>1469</v>
      </c>
      <c r="X34" s="200">
        <f>SUBTOTAL(109,Tabla42[2022])</f>
        <v>1696</v>
      </c>
      <c r="Y34" s="200">
        <f>SUBTOTAL(109,Tabla42[2023])</f>
        <v>2594</v>
      </c>
      <c r="Z34" s="200">
        <f>SUBTOTAL(109,Tabla42[2024])</f>
        <v>2762</v>
      </c>
      <c r="AA34" s="130">
        <f>SUM(Tabla42[[#Totals],[2002]:[2024]])</f>
        <v>34984</v>
      </c>
    </row>
  </sheetData>
  <mergeCells count="3">
    <mergeCell ref="C3:C4"/>
    <mergeCell ref="D3:Z3"/>
    <mergeCell ref="AA3:AA4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D2CFC-ADC1-47DC-98D4-FC0617BA614E}">
  <dimension ref="A1"/>
  <sheetViews>
    <sheetView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C50F7-5C78-4C72-8DB0-8852A5FF36E3}">
  <dimension ref="C4:G28"/>
  <sheetViews>
    <sheetView workbookViewId="0">
      <selection activeCell="C4" sqref="C4:G28"/>
    </sheetView>
  </sheetViews>
  <sheetFormatPr baseColWidth="10" defaultRowHeight="15" x14ac:dyDescent="0.25"/>
  <cols>
    <col min="4" max="4" width="15.5703125" customWidth="1"/>
    <col min="5" max="5" width="16.5703125" customWidth="1"/>
  </cols>
  <sheetData>
    <row r="4" spans="3:7" ht="60" x14ac:dyDescent="0.25">
      <c r="C4" s="84" t="s">
        <v>60</v>
      </c>
      <c r="D4" s="85" t="s">
        <v>78</v>
      </c>
      <c r="E4" s="85" t="s">
        <v>79</v>
      </c>
      <c r="F4" s="85" t="s">
        <v>80</v>
      </c>
      <c r="G4" s="86" t="s">
        <v>34</v>
      </c>
    </row>
    <row r="5" spans="3:7" x14ac:dyDescent="0.25">
      <c r="C5" s="87" t="s">
        <v>36</v>
      </c>
      <c r="D5" s="88">
        <v>0</v>
      </c>
      <c r="E5" s="201">
        <v>0</v>
      </c>
      <c r="F5" s="114">
        <v>7</v>
      </c>
      <c r="G5" s="115">
        <f>SUM(Tabla32[[#This Row],[En proceso 
de Notificación]:[Concluidas]])</f>
        <v>7</v>
      </c>
    </row>
    <row r="6" spans="3:7" x14ac:dyDescent="0.25">
      <c r="C6" s="87" t="s">
        <v>37</v>
      </c>
      <c r="D6" s="91">
        <v>0</v>
      </c>
      <c r="E6" s="202">
        <v>0</v>
      </c>
      <c r="F6" s="116">
        <v>40</v>
      </c>
      <c r="G6" s="115">
        <f>SUM(Tabla32[[#This Row],[En proceso 
de Notificación]:[Concluidas]])</f>
        <v>40</v>
      </c>
    </row>
    <row r="7" spans="3:7" x14ac:dyDescent="0.25">
      <c r="C7" s="87" t="s">
        <v>38</v>
      </c>
      <c r="D7" s="88">
        <v>0</v>
      </c>
      <c r="E7" s="201">
        <v>0</v>
      </c>
      <c r="F7" s="114">
        <v>349</v>
      </c>
      <c r="G7" s="115">
        <f>SUM(Tabla32[[#This Row],[En proceso 
de Notificación]:[Concluidas]])</f>
        <v>349</v>
      </c>
    </row>
    <row r="8" spans="3:7" x14ac:dyDescent="0.25">
      <c r="C8" s="87" t="s">
        <v>39</v>
      </c>
      <c r="D8" s="91">
        <v>0</v>
      </c>
      <c r="E8" s="202">
        <v>0</v>
      </c>
      <c r="F8" s="116">
        <v>461</v>
      </c>
      <c r="G8" s="115">
        <f>SUM(Tabla32[[#This Row],[En proceso 
de Notificación]:[Concluidas]])</f>
        <v>461</v>
      </c>
    </row>
    <row r="9" spans="3:7" x14ac:dyDescent="0.25">
      <c r="C9" s="87" t="s">
        <v>40</v>
      </c>
      <c r="D9" s="88">
        <v>0</v>
      </c>
      <c r="E9" s="201">
        <v>0</v>
      </c>
      <c r="F9" s="114">
        <v>563</v>
      </c>
      <c r="G9" s="115">
        <f>SUM(Tabla32[[#This Row],[En proceso 
de Notificación]:[Concluidas]])</f>
        <v>563</v>
      </c>
    </row>
    <row r="10" spans="3:7" x14ac:dyDescent="0.25">
      <c r="C10" s="87" t="s">
        <v>41</v>
      </c>
      <c r="D10" s="91">
        <v>0</v>
      </c>
      <c r="E10" s="202">
        <v>0</v>
      </c>
      <c r="F10" s="116">
        <v>1631</v>
      </c>
      <c r="G10" s="115">
        <f>SUM(Tabla32[[#This Row],[En proceso 
de Notificación]:[Concluidas]])</f>
        <v>1631</v>
      </c>
    </row>
    <row r="11" spans="3:7" x14ac:dyDescent="0.25">
      <c r="C11" s="87" t="s">
        <v>42</v>
      </c>
      <c r="D11" s="88">
        <v>0</v>
      </c>
      <c r="E11" s="201">
        <v>0</v>
      </c>
      <c r="F11" s="114">
        <v>1116</v>
      </c>
      <c r="G11" s="115">
        <f>SUM(Tabla32[[#This Row],[En proceso 
de Notificación]:[Concluidas]])</f>
        <v>1116</v>
      </c>
    </row>
    <row r="12" spans="3:7" x14ac:dyDescent="0.25">
      <c r="C12" s="87" t="s">
        <v>43</v>
      </c>
      <c r="D12" s="91">
        <v>0</v>
      </c>
      <c r="E12" s="202">
        <v>0</v>
      </c>
      <c r="F12" s="116">
        <v>1385</v>
      </c>
      <c r="G12" s="115">
        <f>SUM(Tabla32[[#This Row],[En proceso 
de Notificación]:[Concluidas]])</f>
        <v>1385</v>
      </c>
    </row>
    <row r="13" spans="3:7" x14ac:dyDescent="0.25">
      <c r="C13" s="87" t="s">
        <v>44</v>
      </c>
      <c r="D13" s="88">
        <v>0</v>
      </c>
      <c r="E13" s="201">
        <v>0</v>
      </c>
      <c r="F13" s="114">
        <v>1911</v>
      </c>
      <c r="G13" s="115">
        <f>SUM(Tabla32[[#This Row],[En proceso 
de Notificación]:[Concluidas]])</f>
        <v>1911</v>
      </c>
    </row>
    <row r="14" spans="3:7" x14ac:dyDescent="0.25">
      <c r="C14" s="87" t="s">
        <v>45</v>
      </c>
      <c r="D14" s="91">
        <v>0</v>
      </c>
      <c r="E14" s="202">
        <v>0</v>
      </c>
      <c r="F14" s="116">
        <v>1652</v>
      </c>
      <c r="G14" s="115">
        <f>SUM(Tabla32[[#This Row],[En proceso 
de Notificación]:[Concluidas]])</f>
        <v>1652</v>
      </c>
    </row>
    <row r="15" spans="3:7" x14ac:dyDescent="0.25">
      <c r="C15" s="87" t="s">
        <v>46</v>
      </c>
      <c r="D15" s="88">
        <v>0</v>
      </c>
      <c r="E15" s="201">
        <v>0</v>
      </c>
      <c r="F15" s="114">
        <v>1819</v>
      </c>
      <c r="G15" s="115">
        <f>SUM(Tabla32[[#This Row],[En proceso 
de Notificación]:[Concluidas]])</f>
        <v>1819</v>
      </c>
    </row>
    <row r="16" spans="3:7" x14ac:dyDescent="0.25">
      <c r="C16" s="87" t="s">
        <v>47</v>
      </c>
      <c r="D16" s="91">
        <v>0</v>
      </c>
      <c r="E16" s="202">
        <v>0</v>
      </c>
      <c r="F16" s="116">
        <v>1361</v>
      </c>
      <c r="G16" s="115">
        <f>SUM(Tabla32[[#This Row],[En proceso 
de Notificación]:[Concluidas]])</f>
        <v>1361</v>
      </c>
    </row>
    <row r="17" spans="3:7" x14ac:dyDescent="0.25">
      <c r="C17" s="87" t="s">
        <v>48</v>
      </c>
      <c r="D17" s="88">
        <v>0</v>
      </c>
      <c r="E17" s="201">
        <v>0</v>
      </c>
      <c r="F17" s="114">
        <v>2134</v>
      </c>
      <c r="G17" s="115">
        <f>SUM(Tabla32[[#This Row],[En proceso 
de Notificación]:[Concluidas]])</f>
        <v>2134</v>
      </c>
    </row>
    <row r="18" spans="3:7" x14ac:dyDescent="0.25">
      <c r="C18" s="87" t="s">
        <v>49</v>
      </c>
      <c r="D18" s="91">
        <v>0</v>
      </c>
      <c r="E18" s="202">
        <v>0</v>
      </c>
      <c r="F18" s="116">
        <v>2715</v>
      </c>
      <c r="G18" s="115">
        <f>SUM(Tabla32[[#This Row],[En proceso 
de Notificación]:[Concluidas]])</f>
        <v>2715</v>
      </c>
    </row>
    <row r="19" spans="3:7" x14ac:dyDescent="0.25">
      <c r="C19" s="87" t="s">
        <v>50</v>
      </c>
      <c r="D19" s="88">
        <v>0</v>
      </c>
      <c r="E19" s="201">
        <v>0</v>
      </c>
      <c r="F19" s="114">
        <v>2560</v>
      </c>
      <c r="G19" s="115">
        <f>SUM(Tabla32[[#This Row],[En proceso 
de Notificación]:[Concluidas]])</f>
        <v>2560</v>
      </c>
    </row>
    <row r="20" spans="3:7" x14ac:dyDescent="0.25">
      <c r="C20" s="87" t="s">
        <v>51</v>
      </c>
      <c r="D20" s="91">
        <v>0</v>
      </c>
      <c r="E20" s="202">
        <v>0</v>
      </c>
      <c r="F20" s="116">
        <v>2792</v>
      </c>
      <c r="G20" s="115">
        <f>SUM(Tabla32[[#This Row],[En proceso 
de Notificación]:[Concluidas]])</f>
        <v>2792</v>
      </c>
    </row>
    <row r="21" spans="3:7" x14ac:dyDescent="0.25">
      <c r="C21" s="87" t="s">
        <v>52</v>
      </c>
      <c r="D21" s="88">
        <v>0</v>
      </c>
      <c r="E21" s="201">
        <v>0</v>
      </c>
      <c r="F21" s="114">
        <v>2462</v>
      </c>
      <c r="G21" s="115">
        <f>SUM(Tabla32[[#This Row],[En proceso 
de Notificación]:[Concluidas]])</f>
        <v>2462</v>
      </c>
    </row>
    <row r="22" spans="3:7" x14ac:dyDescent="0.25">
      <c r="C22" s="87" t="s">
        <v>53</v>
      </c>
      <c r="D22" s="91">
        <v>0</v>
      </c>
      <c r="E22" s="202">
        <v>0</v>
      </c>
      <c r="F22" s="116">
        <v>1587</v>
      </c>
      <c r="G22" s="115">
        <f>SUM(Tabla32[[#This Row],[En proceso 
de Notificación]:[Concluidas]])</f>
        <v>1587</v>
      </c>
    </row>
    <row r="23" spans="3:7" x14ac:dyDescent="0.25">
      <c r="C23" s="87" t="s">
        <v>54</v>
      </c>
      <c r="D23" s="88">
        <v>0</v>
      </c>
      <c r="E23" s="201">
        <v>0</v>
      </c>
      <c r="F23" s="114">
        <v>1484</v>
      </c>
      <c r="G23" s="115">
        <f>SUM(Tabla32[[#This Row],[En proceso 
de Notificación]:[Concluidas]])</f>
        <v>1484</v>
      </c>
    </row>
    <row r="24" spans="3:7" x14ac:dyDescent="0.25">
      <c r="C24" s="87" t="s">
        <v>55</v>
      </c>
      <c r="D24" s="91">
        <v>0</v>
      </c>
      <c r="E24" s="202">
        <v>0</v>
      </c>
      <c r="F24" s="116">
        <v>1564</v>
      </c>
      <c r="G24" s="115">
        <f>SUM(Tabla32[[#This Row],[En proceso 
de Notificación]:[Concluidas]])</f>
        <v>1564</v>
      </c>
    </row>
    <row r="25" spans="3:7" x14ac:dyDescent="0.25">
      <c r="C25" s="87" t="s">
        <v>56</v>
      </c>
      <c r="D25" s="203">
        <v>0</v>
      </c>
      <c r="E25" s="201">
        <v>0</v>
      </c>
      <c r="F25" s="117">
        <v>1730</v>
      </c>
      <c r="G25" s="115">
        <f>SUM(Tabla32[[#This Row],[En proceso 
de Notificación]:[Concluidas]])</f>
        <v>1730</v>
      </c>
    </row>
    <row r="26" spans="3:7" x14ac:dyDescent="0.25">
      <c r="C26" s="87" t="s">
        <v>57</v>
      </c>
      <c r="D26" s="204">
        <v>0</v>
      </c>
      <c r="E26" s="202">
        <v>0</v>
      </c>
      <c r="F26" s="118">
        <v>2508</v>
      </c>
      <c r="G26" s="115">
        <f>SUM(Tabla32[[#This Row],[En proceso 
de Notificación]:[Concluidas]])</f>
        <v>2508</v>
      </c>
    </row>
    <row r="27" spans="3:7" x14ac:dyDescent="0.25">
      <c r="C27" s="87" t="s">
        <v>58</v>
      </c>
      <c r="D27" s="203">
        <v>1259</v>
      </c>
      <c r="E27" s="201">
        <v>0</v>
      </c>
      <c r="F27" s="117">
        <v>944</v>
      </c>
      <c r="G27" s="115">
        <f>SUM(Tabla32[[#This Row],[En proceso 
de Notificación]:[Concluidas]])</f>
        <v>2203</v>
      </c>
    </row>
    <row r="28" spans="3:7" x14ac:dyDescent="0.25">
      <c r="C28" s="93" t="s">
        <v>34</v>
      </c>
      <c r="D28" s="94">
        <f>SUBTOTAL(109,D5:D27)</f>
        <v>1259</v>
      </c>
      <c r="E28" s="94">
        <f t="shared" ref="E28:F28" si="0">SUBTOTAL(109,E5:E27)</f>
        <v>0</v>
      </c>
      <c r="F28" s="94">
        <f t="shared" si="0"/>
        <v>34775</v>
      </c>
      <c r="G28" s="115">
        <f>SUM(Tabla32[[#This Row],[En proceso 
de Notificación]:[Concluidas]])</f>
        <v>36034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A6AB-CE38-4FED-B7EB-7BD5AEAC6BE2}">
  <dimension ref="B2:E33"/>
  <sheetViews>
    <sheetView workbookViewId="0">
      <selection activeCell="B2" sqref="B2:E33"/>
    </sheetView>
  </sheetViews>
  <sheetFormatPr baseColWidth="10" defaultRowHeight="15" x14ac:dyDescent="0.25"/>
  <cols>
    <col min="2" max="2" width="22.28515625" customWidth="1"/>
    <col min="3" max="3" width="20.140625" customWidth="1"/>
    <col min="4" max="4" width="17.5703125" customWidth="1"/>
    <col min="5" max="5" width="26.28515625" customWidth="1"/>
  </cols>
  <sheetData>
    <row r="2" spans="2:5" x14ac:dyDescent="0.25">
      <c r="B2" s="1" t="s">
        <v>0</v>
      </c>
      <c r="C2" s="2" t="s">
        <v>1</v>
      </c>
      <c r="D2" s="2" t="s">
        <v>2</v>
      </c>
      <c r="E2" s="3" t="s">
        <v>3</v>
      </c>
    </row>
    <row r="3" spans="2:5" ht="75" x14ac:dyDescent="0.25">
      <c r="B3" s="4" t="s">
        <v>4</v>
      </c>
      <c r="C3" s="5">
        <v>19787</v>
      </c>
      <c r="D3" s="6">
        <v>0.64663398692810459</v>
      </c>
      <c r="E3" s="7">
        <v>0.64663398692810459</v>
      </c>
    </row>
    <row r="4" spans="2:5" ht="45" x14ac:dyDescent="0.25">
      <c r="B4" s="4" t="s">
        <v>5</v>
      </c>
      <c r="C4" s="5">
        <v>1514</v>
      </c>
      <c r="D4" s="6">
        <v>4.9477124183006538E-2</v>
      </c>
      <c r="E4" s="7">
        <v>0.69611111111111112</v>
      </c>
    </row>
    <row r="5" spans="2:5" ht="60" x14ac:dyDescent="0.25">
      <c r="B5" s="4" t="s">
        <v>6</v>
      </c>
      <c r="C5" s="5">
        <v>1474</v>
      </c>
      <c r="D5" s="6">
        <v>4.8169934640522875E-2</v>
      </c>
      <c r="E5" s="7">
        <v>0.74428104575163401</v>
      </c>
    </row>
    <row r="6" spans="2:5" ht="105" x14ac:dyDescent="0.25">
      <c r="B6" s="4" t="s">
        <v>7</v>
      </c>
      <c r="C6" s="5">
        <v>1034</v>
      </c>
      <c r="D6" s="6">
        <v>3.3790849673202616E-2</v>
      </c>
      <c r="E6" s="7">
        <v>0.77807189542483668</v>
      </c>
    </row>
    <row r="7" spans="2:5" ht="90" x14ac:dyDescent="0.25">
      <c r="B7" s="4" t="s">
        <v>8</v>
      </c>
      <c r="C7" s="5">
        <v>1010</v>
      </c>
      <c r="D7" s="6">
        <v>3.3006535947712419E-2</v>
      </c>
      <c r="E7" s="7">
        <v>0.81107843137254909</v>
      </c>
    </row>
    <row r="8" spans="2:5" ht="90" x14ac:dyDescent="0.25">
      <c r="B8" s="4" t="s">
        <v>9</v>
      </c>
      <c r="C8" s="5">
        <v>702</v>
      </c>
      <c r="D8" s="6">
        <v>2.2941176470588236E-2</v>
      </c>
      <c r="E8" s="7">
        <v>0.83401960784313733</v>
      </c>
    </row>
    <row r="9" spans="2:5" ht="30" x14ac:dyDescent="0.25">
      <c r="B9" s="4" t="s">
        <v>10</v>
      </c>
      <c r="C9" s="5">
        <v>650</v>
      </c>
      <c r="D9" s="6">
        <v>2.1241830065359478E-2</v>
      </c>
      <c r="E9" s="7">
        <v>0.85526143790849685</v>
      </c>
    </row>
    <row r="10" spans="2:5" x14ac:dyDescent="0.25">
      <c r="B10" s="4" t="s">
        <v>11</v>
      </c>
      <c r="C10" s="5">
        <v>538</v>
      </c>
      <c r="D10" s="6">
        <v>1.758169934640523E-2</v>
      </c>
      <c r="E10" s="7">
        <v>0.87284313725490204</v>
      </c>
    </row>
    <row r="11" spans="2:5" ht="90" x14ac:dyDescent="0.25">
      <c r="B11" s="4" t="s">
        <v>12</v>
      </c>
      <c r="C11" s="5">
        <v>484</v>
      </c>
      <c r="D11" s="6">
        <v>1.5816993464052288E-2</v>
      </c>
      <c r="E11" s="7">
        <v>0.88866013071895433</v>
      </c>
    </row>
    <row r="12" spans="2:5" ht="60" x14ac:dyDescent="0.25">
      <c r="B12" s="4" t="s">
        <v>13</v>
      </c>
      <c r="C12" s="5">
        <v>450</v>
      </c>
      <c r="D12" s="6">
        <v>1.4705882352941176E-2</v>
      </c>
      <c r="E12" s="7">
        <v>0.90336601307189546</v>
      </c>
    </row>
    <row r="13" spans="2:5" x14ac:dyDescent="0.25">
      <c r="B13" s="4" t="s">
        <v>14</v>
      </c>
      <c r="C13" s="5">
        <v>361</v>
      </c>
      <c r="D13" s="6">
        <v>1.1797385620915033E-2</v>
      </c>
      <c r="E13" s="7">
        <v>0.91516339869281049</v>
      </c>
    </row>
    <row r="14" spans="2:5" x14ac:dyDescent="0.25">
      <c r="B14" s="4" t="s">
        <v>15</v>
      </c>
      <c r="C14" s="5">
        <v>259</v>
      </c>
      <c r="D14" s="6">
        <v>8.4640522875816995E-3</v>
      </c>
      <c r="E14" s="7">
        <v>0.92362745098039223</v>
      </c>
    </row>
    <row r="15" spans="2:5" x14ac:dyDescent="0.25">
      <c r="B15" s="4" t="s">
        <v>16</v>
      </c>
      <c r="C15" s="5">
        <v>248</v>
      </c>
      <c r="D15" s="6">
        <v>8.1045751633986932E-3</v>
      </c>
      <c r="E15" s="7">
        <v>0.93173202614379091</v>
      </c>
    </row>
    <row r="16" spans="2:5" ht="45" x14ac:dyDescent="0.25">
      <c r="B16" s="4" t="s">
        <v>17</v>
      </c>
      <c r="C16" s="5">
        <v>223</v>
      </c>
      <c r="D16" s="6">
        <v>7.287581699346405E-3</v>
      </c>
      <c r="E16" s="7">
        <v>0.93901960784313732</v>
      </c>
    </row>
    <row r="17" spans="2:5" x14ac:dyDescent="0.25">
      <c r="B17" s="4" t="s">
        <v>18</v>
      </c>
      <c r="C17" s="5">
        <v>219</v>
      </c>
      <c r="D17" s="6">
        <v>7.1568627450980396E-3</v>
      </c>
      <c r="E17" s="7">
        <v>0.9461764705882354</v>
      </c>
    </row>
    <row r="18" spans="2:5" ht="90" x14ac:dyDescent="0.25">
      <c r="B18" s="4" t="s">
        <v>19</v>
      </c>
      <c r="C18" s="5">
        <v>196</v>
      </c>
      <c r="D18" s="6">
        <v>6.4052287581699346E-3</v>
      </c>
      <c r="E18" s="7">
        <v>0.95258169934640535</v>
      </c>
    </row>
    <row r="19" spans="2:5" x14ac:dyDescent="0.25">
      <c r="B19" s="4" t="s">
        <v>20</v>
      </c>
      <c r="C19" s="5">
        <v>183</v>
      </c>
      <c r="D19" s="6">
        <v>5.9803921568627452E-3</v>
      </c>
      <c r="E19" s="7">
        <v>0.9585620915032681</v>
      </c>
    </row>
    <row r="20" spans="2:5" ht="30" x14ac:dyDescent="0.25">
      <c r="B20" s="4" t="s">
        <v>21</v>
      </c>
      <c r="C20" s="5">
        <v>178</v>
      </c>
      <c r="D20" s="6">
        <v>5.8169934640522874E-3</v>
      </c>
      <c r="E20" s="7">
        <v>0.96437908496732039</v>
      </c>
    </row>
    <row r="21" spans="2:5" ht="30" x14ac:dyDescent="0.25">
      <c r="B21" s="4" t="s">
        <v>22</v>
      </c>
      <c r="C21" s="5">
        <v>176</v>
      </c>
      <c r="D21" s="6">
        <v>5.7516339869281043E-3</v>
      </c>
      <c r="E21" s="7">
        <v>0.97013071895424852</v>
      </c>
    </row>
    <row r="22" spans="2:5" ht="90" x14ac:dyDescent="0.25">
      <c r="B22" s="4" t="s">
        <v>23</v>
      </c>
      <c r="C22" s="5">
        <v>171</v>
      </c>
      <c r="D22" s="6">
        <v>5.5882352941176473E-3</v>
      </c>
      <c r="E22" s="7">
        <v>0.97571895424836619</v>
      </c>
    </row>
    <row r="23" spans="2:5" x14ac:dyDescent="0.25">
      <c r="B23" s="4" t="s">
        <v>24</v>
      </c>
      <c r="C23" s="5">
        <v>134</v>
      </c>
      <c r="D23" s="6">
        <v>4.3790849673202613E-3</v>
      </c>
      <c r="E23" s="7">
        <v>0.9800980392156865</v>
      </c>
    </row>
    <row r="24" spans="2:5" ht="105" x14ac:dyDescent="0.25">
      <c r="B24" s="4" t="s">
        <v>25</v>
      </c>
      <c r="C24" s="5">
        <v>117</v>
      </c>
      <c r="D24" s="6">
        <v>3.8235294117647061E-3</v>
      </c>
      <c r="E24" s="7">
        <v>0.98392156862745117</v>
      </c>
    </row>
    <row r="25" spans="2:5" ht="30" x14ac:dyDescent="0.25">
      <c r="B25" s="4" t="s">
        <v>26</v>
      </c>
      <c r="C25" s="5">
        <v>94</v>
      </c>
      <c r="D25" s="6">
        <v>3.0718954248366015E-3</v>
      </c>
      <c r="E25" s="7">
        <v>0.98699346405228772</v>
      </c>
    </row>
    <row r="26" spans="2:5" ht="45" x14ac:dyDescent="0.25">
      <c r="B26" s="4" t="s">
        <v>27</v>
      </c>
      <c r="C26" s="5">
        <v>87</v>
      </c>
      <c r="D26" s="6">
        <v>2.8431372549019606E-3</v>
      </c>
      <c r="E26" s="7">
        <v>0.98983660130718965</v>
      </c>
    </row>
    <row r="27" spans="2:5" ht="60" x14ac:dyDescent="0.25">
      <c r="B27" s="4" t="s">
        <v>28</v>
      </c>
      <c r="C27" s="5">
        <v>83</v>
      </c>
      <c r="D27" s="6">
        <v>2.7124183006535948E-3</v>
      </c>
      <c r="E27" s="7">
        <v>0.99254901960784325</v>
      </c>
    </row>
    <row r="28" spans="2:5" ht="60" x14ac:dyDescent="0.25">
      <c r="B28" s="4" t="s">
        <v>29</v>
      </c>
      <c r="C28" s="5">
        <v>82</v>
      </c>
      <c r="D28" s="6">
        <v>2.6797385620915032E-3</v>
      </c>
      <c r="E28" s="7">
        <v>0.99522875816993472</v>
      </c>
    </row>
    <row r="29" spans="2:5" ht="60" x14ac:dyDescent="0.25">
      <c r="B29" s="4" t="s">
        <v>30</v>
      </c>
      <c r="C29" s="5">
        <v>64</v>
      </c>
      <c r="D29" s="6">
        <v>2.0915032679738564E-3</v>
      </c>
      <c r="E29" s="7">
        <v>0.99732026143790853</v>
      </c>
    </row>
    <row r="30" spans="2:5" ht="45" x14ac:dyDescent="0.25">
      <c r="B30" s="4" t="s">
        <v>31</v>
      </c>
      <c r="C30" s="5">
        <v>62</v>
      </c>
      <c r="D30" s="6">
        <v>2.0261437908496733E-3</v>
      </c>
      <c r="E30" s="7">
        <v>0.99934640522875817</v>
      </c>
    </row>
    <row r="31" spans="2:5" ht="45" x14ac:dyDescent="0.25">
      <c r="B31" s="4" t="s">
        <v>32</v>
      </c>
      <c r="C31" s="5">
        <v>19</v>
      </c>
      <c r="D31" s="6">
        <v>6.2091503267973857E-4</v>
      </c>
      <c r="E31" s="7">
        <v>0.99996732026143786</v>
      </c>
    </row>
    <row r="32" spans="2:5" ht="60" x14ac:dyDescent="0.25">
      <c r="B32" s="4" t="s">
        <v>33</v>
      </c>
      <c r="C32" s="5">
        <v>1</v>
      </c>
      <c r="D32" s="6">
        <v>3.2679738562091506E-5</v>
      </c>
      <c r="E32" s="7">
        <v>1</v>
      </c>
    </row>
    <row r="33" spans="2:5" x14ac:dyDescent="0.25">
      <c r="B33" s="8" t="s">
        <v>34</v>
      </c>
      <c r="C33" s="9">
        <f>SUBTOTAL(109,C3:C32)</f>
        <v>30600</v>
      </c>
      <c r="D33" s="10">
        <f>SUBTOTAL(109,D3:D32)</f>
        <v>1</v>
      </c>
      <c r="E33" s="11">
        <v>1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01A1-65AE-43B4-9717-09A37C76C6C0}">
  <dimension ref="B2:Z33"/>
  <sheetViews>
    <sheetView workbookViewId="0">
      <selection activeCell="B2" sqref="B2:Z33"/>
    </sheetView>
  </sheetViews>
  <sheetFormatPr baseColWidth="10" defaultRowHeight="15" x14ac:dyDescent="0.25"/>
  <sheetData>
    <row r="2" spans="2:26" x14ac:dyDescent="0.25">
      <c r="B2" s="120" t="s">
        <v>0</v>
      </c>
      <c r="C2" s="189" t="s">
        <v>35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1"/>
      <c r="Z2" s="124" t="s">
        <v>34</v>
      </c>
    </row>
    <row r="3" spans="2:26" x14ac:dyDescent="0.25">
      <c r="B3" s="120"/>
      <c r="C3" s="125" t="s">
        <v>36</v>
      </c>
      <c r="D3" s="125" t="s">
        <v>37</v>
      </c>
      <c r="E3" s="125" t="s">
        <v>38</v>
      </c>
      <c r="F3" s="125" t="s">
        <v>39</v>
      </c>
      <c r="G3" s="125" t="s">
        <v>40</v>
      </c>
      <c r="H3" s="125" t="s">
        <v>41</v>
      </c>
      <c r="I3" s="125" t="s">
        <v>42</v>
      </c>
      <c r="J3" s="125" t="s">
        <v>43</v>
      </c>
      <c r="K3" s="125" t="s">
        <v>44</v>
      </c>
      <c r="L3" s="125" t="s">
        <v>45</v>
      </c>
      <c r="M3" s="125" t="s">
        <v>46</v>
      </c>
      <c r="N3" s="125" t="s">
        <v>47</v>
      </c>
      <c r="O3" s="125" t="s">
        <v>48</v>
      </c>
      <c r="P3" s="125" t="s">
        <v>49</v>
      </c>
      <c r="Q3" s="125" t="s">
        <v>50</v>
      </c>
      <c r="R3" s="125" t="s">
        <v>51</v>
      </c>
      <c r="S3" s="125" t="s">
        <v>52</v>
      </c>
      <c r="T3" s="125" t="s">
        <v>53</v>
      </c>
      <c r="U3" s="125" t="s">
        <v>54</v>
      </c>
      <c r="V3" s="125" t="s">
        <v>55</v>
      </c>
      <c r="W3" s="126" t="s">
        <v>56</v>
      </c>
      <c r="X3" s="126" t="s">
        <v>57</v>
      </c>
      <c r="Y3" s="126" t="s">
        <v>58</v>
      </c>
      <c r="Z3" s="124"/>
    </row>
    <row r="4" spans="2:26" ht="24.75" x14ac:dyDescent="0.25">
      <c r="B4" s="127" t="s">
        <v>4</v>
      </c>
      <c r="C4" s="128" t="s">
        <v>59</v>
      </c>
      <c r="D4" s="128" t="s">
        <v>59</v>
      </c>
      <c r="E4" s="128">
        <v>213</v>
      </c>
      <c r="F4" s="128">
        <v>185</v>
      </c>
      <c r="G4" s="128">
        <v>183</v>
      </c>
      <c r="H4" s="128">
        <v>1053</v>
      </c>
      <c r="I4" s="128">
        <v>670</v>
      </c>
      <c r="J4" s="128">
        <v>784</v>
      </c>
      <c r="K4" s="128">
        <v>1208</v>
      </c>
      <c r="L4" s="128">
        <v>1009</v>
      </c>
      <c r="M4" s="128">
        <v>1121</v>
      </c>
      <c r="N4" s="128">
        <v>605</v>
      </c>
      <c r="O4" s="128">
        <v>1337</v>
      </c>
      <c r="P4" s="128">
        <v>1440</v>
      </c>
      <c r="Q4" s="128">
        <v>1594</v>
      </c>
      <c r="R4" s="128">
        <v>2149</v>
      </c>
      <c r="S4" s="128">
        <v>1261</v>
      </c>
      <c r="T4" s="128">
        <v>760</v>
      </c>
      <c r="U4" s="128">
        <v>737</v>
      </c>
      <c r="V4" s="128">
        <v>872</v>
      </c>
      <c r="W4" s="129">
        <v>1127</v>
      </c>
      <c r="X4" s="129">
        <v>1744</v>
      </c>
      <c r="Y4" s="129">
        <v>1703</v>
      </c>
      <c r="Z4" s="130">
        <f>SUM(Tabla43[[#This Row],[2002]:[2023]])</f>
        <v>20052</v>
      </c>
    </row>
    <row r="5" spans="2:26" ht="24.75" x14ac:dyDescent="0.25">
      <c r="B5" s="127" t="s">
        <v>5</v>
      </c>
      <c r="C5" s="131">
        <v>4</v>
      </c>
      <c r="D5" s="131">
        <v>17</v>
      </c>
      <c r="E5" s="131">
        <v>19</v>
      </c>
      <c r="F5" s="131">
        <v>76</v>
      </c>
      <c r="G5" s="131">
        <v>96</v>
      </c>
      <c r="H5" s="131">
        <v>88</v>
      </c>
      <c r="I5" s="131">
        <v>85</v>
      </c>
      <c r="J5" s="131">
        <v>108</v>
      </c>
      <c r="K5" s="131">
        <v>100</v>
      </c>
      <c r="L5" s="131">
        <v>51</v>
      </c>
      <c r="M5" s="131">
        <v>59</v>
      </c>
      <c r="N5" s="131">
        <v>67</v>
      </c>
      <c r="O5" s="131">
        <v>59</v>
      </c>
      <c r="P5" s="131">
        <v>239</v>
      </c>
      <c r="Q5" s="131">
        <v>48</v>
      </c>
      <c r="R5" s="131">
        <v>91</v>
      </c>
      <c r="S5" s="131">
        <v>57</v>
      </c>
      <c r="T5" s="131">
        <v>38</v>
      </c>
      <c r="U5" s="131">
        <v>61</v>
      </c>
      <c r="V5" s="131">
        <v>40</v>
      </c>
      <c r="W5" s="131">
        <v>35</v>
      </c>
      <c r="X5" s="131">
        <v>44</v>
      </c>
      <c r="Y5" s="131">
        <v>7</v>
      </c>
      <c r="Z5" s="130">
        <f>SUM(Tabla43[[#This Row],[2002]:[2023]])</f>
        <v>1482</v>
      </c>
    </row>
    <row r="6" spans="2:26" ht="33" x14ac:dyDescent="0.25">
      <c r="B6" s="127" t="s">
        <v>7</v>
      </c>
      <c r="C6" s="128" t="s">
        <v>59</v>
      </c>
      <c r="D6" s="128">
        <v>9</v>
      </c>
      <c r="E6" s="128">
        <v>27</v>
      </c>
      <c r="F6" s="128">
        <v>27</v>
      </c>
      <c r="G6" s="128">
        <v>24</v>
      </c>
      <c r="H6" s="128">
        <v>9</v>
      </c>
      <c r="I6" s="128">
        <v>11</v>
      </c>
      <c r="J6" s="128">
        <v>28</v>
      </c>
      <c r="K6" s="128">
        <v>14</v>
      </c>
      <c r="L6" s="128">
        <v>29</v>
      </c>
      <c r="M6" s="128">
        <v>85</v>
      </c>
      <c r="N6" s="128">
        <v>71</v>
      </c>
      <c r="O6" s="128">
        <v>98</v>
      </c>
      <c r="P6" s="128">
        <v>57</v>
      </c>
      <c r="Q6" s="128">
        <v>100</v>
      </c>
      <c r="R6" s="128">
        <v>51</v>
      </c>
      <c r="S6" s="128">
        <v>58</v>
      </c>
      <c r="T6" s="128">
        <v>62</v>
      </c>
      <c r="U6" s="128">
        <v>73</v>
      </c>
      <c r="V6" s="128">
        <v>91</v>
      </c>
      <c r="W6" s="128">
        <v>86</v>
      </c>
      <c r="X6" s="128">
        <v>167</v>
      </c>
      <c r="Y6" s="128">
        <v>115</v>
      </c>
      <c r="Z6" s="130">
        <f>SUM(Tabla43[[#This Row],[2002]:[2023]])</f>
        <v>1177</v>
      </c>
    </row>
    <row r="7" spans="2:26" x14ac:dyDescent="0.25">
      <c r="B7" s="127" t="s">
        <v>11</v>
      </c>
      <c r="C7" s="131" t="s">
        <v>59</v>
      </c>
      <c r="D7" s="131" t="s">
        <v>59</v>
      </c>
      <c r="E7" s="131">
        <v>4</v>
      </c>
      <c r="F7" s="131">
        <v>3</v>
      </c>
      <c r="G7" s="131">
        <v>9</v>
      </c>
      <c r="H7" s="131">
        <v>14</v>
      </c>
      <c r="I7" s="131">
        <v>69</v>
      </c>
      <c r="J7" s="131">
        <v>65</v>
      </c>
      <c r="K7" s="131">
        <v>66</v>
      </c>
      <c r="L7" s="131">
        <v>28</v>
      </c>
      <c r="M7" s="131">
        <v>35</v>
      </c>
      <c r="N7" s="131">
        <v>61</v>
      </c>
      <c r="O7" s="131">
        <v>36</v>
      </c>
      <c r="P7" s="131">
        <v>226</v>
      </c>
      <c r="Q7" s="131">
        <v>93</v>
      </c>
      <c r="R7" s="131">
        <v>46</v>
      </c>
      <c r="S7" s="131">
        <v>87</v>
      </c>
      <c r="T7" s="131">
        <v>54</v>
      </c>
      <c r="U7" s="131">
        <v>107</v>
      </c>
      <c r="V7" s="131">
        <v>146</v>
      </c>
      <c r="W7" s="131">
        <v>46</v>
      </c>
      <c r="X7" s="131">
        <v>62</v>
      </c>
      <c r="Y7" s="131">
        <v>30</v>
      </c>
      <c r="Z7" s="130">
        <f>SUM(Tabla43[[#This Row],[2002]:[2023]])</f>
        <v>1257</v>
      </c>
    </row>
    <row r="8" spans="2:26" ht="24.75" x14ac:dyDescent="0.25">
      <c r="B8" s="127" t="s">
        <v>6</v>
      </c>
      <c r="C8" s="128" t="s">
        <v>59</v>
      </c>
      <c r="D8" s="128">
        <v>6</v>
      </c>
      <c r="E8" s="128">
        <v>9</v>
      </c>
      <c r="F8" s="128">
        <v>30</v>
      </c>
      <c r="G8" s="128">
        <v>38</v>
      </c>
      <c r="H8" s="128">
        <v>91</v>
      </c>
      <c r="I8" s="128">
        <v>30</v>
      </c>
      <c r="J8" s="128">
        <v>43</v>
      </c>
      <c r="K8" s="128">
        <v>89</v>
      </c>
      <c r="L8" s="128">
        <v>58</v>
      </c>
      <c r="M8" s="128">
        <v>64</v>
      </c>
      <c r="N8" s="128">
        <v>73</v>
      </c>
      <c r="O8" s="128">
        <v>71</v>
      </c>
      <c r="P8" s="128">
        <v>95</v>
      </c>
      <c r="Q8" s="128">
        <v>122</v>
      </c>
      <c r="R8" s="128">
        <v>27</v>
      </c>
      <c r="S8" s="128">
        <v>107</v>
      </c>
      <c r="T8" s="128">
        <v>48</v>
      </c>
      <c r="U8" s="128">
        <v>39</v>
      </c>
      <c r="V8" s="128">
        <v>55</v>
      </c>
      <c r="W8" s="128">
        <v>41</v>
      </c>
      <c r="X8" s="128">
        <v>67</v>
      </c>
      <c r="Y8" s="128">
        <v>41</v>
      </c>
      <c r="Z8" s="130">
        <f>SUM(Tabla43[[#This Row],[2002]:[2023]])</f>
        <v>1203</v>
      </c>
    </row>
    <row r="9" spans="2:26" ht="16.5" x14ac:dyDescent="0.25">
      <c r="B9" s="127" t="s">
        <v>10</v>
      </c>
      <c r="C9" s="131" t="s">
        <v>59</v>
      </c>
      <c r="D9" s="131" t="s">
        <v>59</v>
      </c>
      <c r="E9" s="131">
        <v>6</v>
      </c>
      <c r="F9" s="131">
        <v>7</v>
      </c>
      <c r="G9" s="131">
        <v>26</v>
      </c>
      <c r="H9" s="131">
        <v>68</v>
      </c>
      <c r="I9" s="131">
        <v>63</v>
      </c>
      <c r="J9" s="131">
        <v>70</v>
      </c>
      <c r="K9" s="131">
        <v>81</v>
      </c>
      <c r="L9" s="131">
        <v>51</v>
      </c>
      <c r="M9" s="131">
        <v>58</v>
      </c>
      <c r="N9" s="131">
        <v>77</v>
      </c>
      <c r="O9" s="131">
        <v>76</v>
      </c>
      <c r="P9" s="131">
        <v>185</v>
      </c>
      <c r="Q9" s="131">
        <v>74</v>
      </c>
      <c r="R9" s="131">
        <v>30</v>
      </c>
      <c r="S9" s="131">
        <v>92</v>
      </c>
      <c r="T9" s="131">
        <v>78</v>
      </c>
      <c r="U9" s="131">
        <v>55</v>
      </c>
      <c r="V9" s="131">
        <v>22</v>
      </c>
      <c r="W9" s="131">
        <v>29</v>
      </c>
      <c r="X9" s="131">
        <v>32</v>
      </c>
      <c r="Y9" s="131">
        <v>18</v>
      </c>
      <c r="Z9" s="130">
        <f>SUM(Tabla43[[#This Row],[2002]:[2023]])</f>
        <v>1180</v>
      </c>
    </row>
    <row r="10" spans="2:26" ht="33" x14ac:dyDescent="0.25">
      <c r="B10" s="127" t="s">
        <v>9</v>
      </c>
      <c r="C10" s="128">
        <v>1</v>
      </c>
      <c r="D10" s="128">
        <v>4</v>
      </c>
      <c r="E10" s="128">
        <v>16</v>
      </c>
      <c r="F10" s="128">
        <v>21</v>
      </c>
      <c r="G10" s="128">
        <v>29</v>
      </c>
      <c r="H10" s="128">
        <v>38</v>
      </c>
      <c r="I10" s="128">
        <v>33</v>
      </c>
      <c r="J10" s="128">
        <v>73</v>
      </c>
      <c r="K10" s="128">
        <v>86</v>
      </c>
      <c r="L10" s="128">
        <v>50</v>
      </c>
      <c r="M10" s="128">
        <v>65</v>
      </c>
      <c r="N10" s="128">
        <v>32</v>
      </c>
      <c r="O10" s="128">
        <v>52</v>
      </c>
      <c r="P10" s="128">
        <v>39</v>
      </c>
      <c r="Q10" s="128">
        <v>59</v>
      </c>
      <c r="R10" s="128">
        <v>45</v>
      </c>
      <c r="S10" s="128">
        <v>108</v>
      </c>
      <c r="T10" s="128">
        <v>82</v>
      </c>
      <c r="U10" s="128">
        <v>62</v>
      </c>
      <c r="V10" s="128">
        <v>62</v>
      </c>
      <c r="W10" s="128">
        <v>59</v>
      </c>
      <c r="X10" s="128">
        <v>123</v>
      </c>
      <c r="Y10" s="128">
        <v>57</v>
      </c>
      <c r="Z10" s="130">
        <f>SUM(Tabla43[[#This Row],[2002]:[2023]])</f>
        <v>1139</v>
      </c>
    </row>
    <row r="11" spans="2:26" ht="24.75" x14ac:dyDescent="0.25">
      <c r="B11" s="127" t="s">
        <v>13</v>
      </c>
      <c r="C11" s="131">
        <v>1</v>
      </c>
      <c r="D11" s="131" t="s">
        <v>59</v>
      </c>
      <c r="E11" s="131">
        <v>5</v>
      </c>
      <c r="F11" s="131">
        <v>25</v>
      </c>
      <c r="G11" s="131">
        <v>9</v>
      </c>
      <c r="H11" s="131">
        <v>23</v>
      </c>
      <c r="I11" s="131">
        <v>21</v>
      </c>
      <c r="J11" s="131">
        <v>25</v>
      </c>
      <c r="K11" s="131">
        <v>31</v>
      </c>
      <c r="L11" s="131">
        <v>164</v>
      </c>
      <c r="M11" s="131">
        <v>52</v>
      </c>
      <c r="N11" s="131">
        <v>33</v>
      </c>
      <c r="O11" s="131">
        <v>71</v>
      </c>
      <c r="P11" s="131">
        <v>98</v>
      </c>
      <c r="Q11" s="131">
        <v>71</v>
      </c>
      <c r="R11" s="131">
        <v>90</v>
      </c>
      <c r="S11" s="131">
        <v>106</v>
      </c>
      <c r="T11" s="131">
        <v>85</v>
      </c>
      <c r="U11" s="131">
        <v>50</v>
      </c>
      <c r="V11" s="131">
        <v>56</v>
      </c>
      <c r="W11" s="131">
        <v>62</v>
      </c>
      <c r="X11" s="131">
        <v>44</v>
      </c>
      <c r="Y11" s="131">
        <v>14</v>
      </c>
      <c r="Z11" s="130">
        <f>SUM(Tabla43[[#This Row],[2002]:[2023]])</f>
        <v>1122</v>
      </c>
    </row>
    <row r="12" spans="2:26" ht="41.25" x14ac:dyDescent="0.25">
      <c r="B12" s="127" t="s">
        <v>8</v>
      </c>
      <c r="C12" s="128" t="s">
        <v>59</v>
      </c>
      <c r="D12" s="128" t="s">
        <v>59</v>
      </c>
      <c r="E12" s="128">
        <v>4</v>
      </c>
      <c r="F12" s="128">
        <v>35</v>
      </c>
      <c r="G12" s="128">
        <v>65</v>
      </c>
      <c r="H12" s="128">
        <v>29</v>
      </c>
      <c r="I12" s="128">
        <v>10</v>
      </c>
      <c r="J12" s="128">
        <v>13</v>
      </c>
      <c r="K12" s="128">
        <v>19</v>
      </c>
      <c r="L12" s="128">
        <v>21</v>
      </c>
      <c r="M12" s="128">
        <v>59</v>
      </c>
      <c r="N12" s="128">
        <v>91</v>
      </c>
      <c r="O12" s="128">
        <v>125</v>
      </c>
      <c r="P12" s="128">
        <v>39</v>
      </c>
      <c r="Q12" s="128">
        <v>47</v>
      </c>
      <c r="R12" s="128">
        <v>63</v>
      </c>
      <c r="S12" s="128">
        <v>160</v>
      </c>
      <c r="T12" s="128">
        <v>82</v>
      </c>
      <c r="U12" s="128">
        <v>45</v>
      </c>
      <c r="V12" s="128">
        <v>31</v>
      </c>
      <c r="W12" s="128">
        <v>31</v>
      </c>
      <c r="X12" s="128">
        <v>41</v>
      </c>
      <c r="Y12" s="128">
        <v>20</v>
      </c>
      <c r="Z12" s="130">
        <f>SUM(Tabla43[[#This Row],[2002]:[2023]])</f>
        <v>1010</v>
      </c>
    </row>
    <row r="13" spans="2:26" ht="24.75" x14ac:dyDescent="0.25">
      <c r="B13" s="127" t="s">
        <v>12</v>
      </c>
      <c r="C13" s="131" t="s">
        <v>59</v>
      </c>
      <c r="D13" s="131" t="s">
        <v>59</v>
      </c>
      <c r="E13" s="131">
        <v>8</v>
      </c>
      <c r="F13" s="131">
        <v>3</v>
      </c>
      <c r="G13" s="131">
        <v>9</v>
      </c>
      <c r="H13" s="131">
        <v>45</v>
      </c>
      <c r="I13" s="131">
        <v>20</v>
      </c>
      <c r="J13" s="131">
        <v>15</v>
      </c>
      <c r="K13" s="131">
        <v>25</v>
      </c>
      <c r="L13" s="131">
        <v>8</v>
      </c>
      <c r="M13" s="131">
        <v>36</v>
      </c>
      <c r="N13" s="131">
        <v>54</v>
      </c>
      <c r="O13" s="131">
        <v>38</v>
      </c>
      <c r="P13" s="131">
        <v>28</v>
      </c>
      <c r="Q13" s="131">
        <v>35</v>
      </c>
      <c r="R13" s="131">
        <v>14</v>
      </c>
      <c r="S13" s="131">
        <v>65</v>
      </c>
      <c r="T13" s="131">
        <v>26</v>
      </c>
      <c r="U13" s="131">
        <v>10</v>
      </c>
      <c r="V13" s="131">
        <v>18</v>
      </c>
      <c r="W13" s="131">
        <v>27</v>
      </c>
      <c r="X13" s="131">
        <v>30</v>
      </c>
      <c r="Y13" s="131">
        <v>15</v>
      </c>
      <c r="Z13" s="130">
        <f>SUM(Tabla43[[#This Row],[2002]:[2023]])</f>
        <v>514</v>
      </c>
    </row>
    <row r="14" spans="2:26" x14ac:dyDescent="0.25">
      <c r="B14" s="127" t="s">
        <v>14</v>
      </c>
      <c r="C14" s="128" t="s">
        <v>59</v>
      </c>
      <c r="D14" s="128" t="s">
        <v>59</v>
      </c>
      <c r="E14" s="128">
        <v>5</v>
      </c>
      <c r="F14" s="128" t="s">
        <v>59</v>
      </c>
      <c r="G14" s="128">
        <v>5</v>
      </c>
      <c r="H14" s="128">
        <v>9</v>
      </c>
      <c r="I14" s="128">
        <v>5</v>
      </c>
      <c r="J14" s="128">
        <v>12</v>
      </c>
      <c r="K14" s="128">
        <v>8</v>
      </c>
      <c r="L14" s="128">
        <v>4</v>
      </c>
      <c r="M14" s="128">
        <v>7</v>
      </c>
      <c r="N14" s="128">
        <v>16</v>
      </c>
      <c r="O14" s="128">
        <v>22</v>
      </c>
      <c r="P14" s="128">
        <v>14</v>
      </c>
      <c r="Q14" s="128">
        <v>40</v>
      </c>
      <c r="R14" s="128">
        <v>13</v>
      </c>
      <c r="S14" s="128">
        <v>80</v>
      </c>
      <c r="T14" s="128">
        <v>29</v>
      </c>
      <c r="U14" s="128">
        <v>29</v>
      </c>
      <c r="V14" s="128">
        <v>32</v>
      </c>
      <c r="W14" s="128">
        <v>9</v>
      </c>
      <c r="X14" s="128">
        <v>34</v>
      </c>
      <c r="Y14" s="128">
        <v>37</v>
      </c>
      <c r="Z14" s="130">
        <f>SUM(Tabla43[[#This Row],[2002]:[2023]])</f>
        <v>373</v>
      </c>
    </row>
    <row r="15" spans="2:26" x14ac:dyDescent="0.25">
      <c r="B15" s="127" t="s">
        <v>15</v>
      </c>
      <c r="C15" s="131" t="s">
        <v>59</v>
      </c>
      <c r="D15" s="131" t="s">
        <v>59</v>
      </c>
      <c r="E15" s="131">
        <v>4</v>
      </c>
      <c r="F15" s="131">
        <v>9</v>
      </c>
      <c r="G15" s="131">
        <v>2</v>
      </c>
      <c r="H15" s="131">
        <v>7</v>
      </c>
      <c r="I15" s="131">
        <v>18</v>
      </c>
      <c r="J15" s="131">
        <v>5</v>
      </c>
      <c r="K15" s="131">
        <v>17</v>
      </c>
      <c r="L15" s="131">
        <v>1</v>
      </c>
      <c r="M15" s="131">
        <v>16</v>
      </c>
      <c r="N15" s="131">
        <v>21</v>
      </c>
      <c r="O15" s="131">
        <v>21</v>
      </c>
      <c r="P15" s="131">
        <v>83</v>
      </c>
      <c r="Q15" s="131">
        <v>37</v>
      </c>
      <c r="R15" s="131">
        <v>17</v>
      </c>
      <c r="S15" s="131">
        <v>12</v>
      </c>
      <c r="T15" s="131">
        <v>35</v>
      </c>
      <c r="U15" s="131">
        <v>22</v>
      </c>
      <c r="V15" s="131">
        <v>34</v>
      </c>
      <c r="W15" s="131">
        <v>20</v>
      </c>
      <c r="X15" s="131">
        <v>10</v>
      </c>
      <c r="Y15" s="131">
        <v>3</v>
      </c>
      <c r="Z15" s="130">
        <f>SUM(Tabla43[[#This Row],[2002]:[2023]])</f>
        <v>391</v>
      </c>
    </row>
    <row r="16" spans="2:26" ht="24.75" x14ac:dyDescent="0.25">
      <c r="B16" s="127" t="s">
        <v>19</v>
      </c>
      <c r="C16" s="128" t="s">
        <v>59</v>
      </c>
      <c r="D16" s="128">
        <v>1</v>
      </c>
      <c r="E16" s="128">
        <v>6</v>
      </c>
      <c r="F16" s="128">
        <v>2</v>
      </c>
      <c r="G16" s="128">
        <v>10</v>
      </c>
      <c r="H16" s="128">
        <v>14</v>
      </c>
      <c r="I16" s="128">
        <v>12</v>
      </c>
      <c r="J16" s="128">
        <v>18</v>
      </c>
      <c r="K16" s="128">
        <v>10</v>
      </c>
      <c r="L16" s="128">
        <v>22</v>
      </c>
      <c r="M16" s="128">
        <v>18</v>
      </c>
      <c r="N16" s="128">
        <v>28</v>
      </c>
      <c r="O16" s="128">
        <v>27</v>
      </c>
      <c r="P16" s="128">
        <v>12</v>
      </c>
      <c r="Q16" s="128">
        <v>24</v>
      </c>
      <c r="R16" s="128">
        <v>39</v>
      </c>
      <c r="S16" s="128">
        <v>36</v>
      </c>
      <c r="T16" s="128">
        <v>35</v>
      </c>
      <c r="U16" s="128">
        <v>38</v>
      </c>
      <c r="V16" s="128">
        <v>4</v>
      </c>
      <c r="W16" s="128">
        <v>17</v>
      </c>
      <c r="X16" s="128">
        <v>4</v>
      </c>
      <c r="Y16" s="128">
        <v>6</v>
      </c>
      <c r="Z16" s="130">
        <f>SUM(Tabla43[[#This Row],[2002]:[2023]])</f>
        <v>377</v>
      </c>
    </row>
    <row r="17" spans="2:26" x14ac:dyDescent="0.25">
      <c r="B17" s="127" t="s">
        <v>22</v>
      </c>
      <c r="C17" s="131" t="s">
        <v>59</v>
      </c>
      <c r="D17" s="131" t="s">
        <v>59</v>
      </c>
      <c r="E17" s="131">
        <v>8</v>
      </c>
      <c r="F17" s="131">
        <v>7</v>
      </c>
      <c r="G17" s="131">
        <v>6</v>
      </c>
      <c r="H17" s="131">
        <v>6</v>
      </c>
      <c r="I17" s="131" t="s">
        <v>59</v>
      </c>
      <c r="J17" s="131">
        <v>15</v>
      </c>
      <c r="K17" s="131">
        <v>9</v>
      </c>
      <c r="L17" s="131">
        <v>10</v>
      </c>
      <c r="M17" s="131">
        <v>14</v>
      </c>
      <c r="N17" s="131">
        <v>13</v>
      </c>
      <c r="O17" s="131">
        <v>15</v>
      </c>
      <c r="P17" s="131">
        <v>25</v>
      </c>
      <c r="Q17" s="131">
        <v>21</v>
      </c>
      <c r="R17" s="131">
        <v>22</v>
      </c>
      <c r="S17" s="131">
        <v>65</v>
      </c>
      <c r="T17" s="131">
        <v>50</v>
      </c>
      <c r="U17" s="131">
        <v>13</v>
      </c>
      <c r="V17" s="131">
        <v>17</v>
      </c>
      <c r="W17" s="131">
        <v>15</v>
      </c>
      <c r="X17" s="131">
        <v>20</v>
      </c>
      <c r="Y17" s="131">
        <v>9</v>
      </c>
      <c r="Z17" s="130">
        <f>SUM(Tabla43[[#This Row],[2002]:[2023]])</f>
        <v>351</v>
      </c>
    </row>
    <row r="18" spans="2:26" x14ac:dyDescent="0.25">
      <c r="B18" s="127" t="s">
        <v>18</v>
      </c>
      <c r="C18" s="128" t="s">
        <v>59</v>
      </c>
      <c r="D18" s="128" t="s">
        <v>59</v>
      </c>
      <c r="E18" s="128" t="s">
        <v>59</v>
      </c>
      <c r="F18" s="128">
        <v>5</v>
      </c>
      <c r="G18" s="128">
        <v>11</v>
      </c>
      <c r="H18" s="128">
        <v>17</v>
      </c>
      <c r="I18" s="128">
        <v>19</v>
      </c>
      <c r="J18" s="128">
        <v>14</v>
      </c>
      <c r="K18" s="128">
        <v>26</v>
      </c>
      <c r="L18" s="128">
        <v>7</v>
      </c>
      <c r="M18" s="128">
        <v>7</v>
      </c>
      <c r="N18" s="128">
        <v>44</v>
      </c>
      <c r="O18" s="128">
        <v>29</v>
      </c>
      <c r="P18" s="128">
        <v>14</v>
      </c>
      <c r="Q18" s="128">
        <v>34</v>
      </c>
      <c r="R18" s="128">
        <v>10</v>
      </c>
      <c r="S18" s="128">
        <v>14</v>
      </c>
      <c r="T18" s="128">
        <v>18</v>
      </c>
      <c r="U18" s="128">
        <v>54</v>
      </c>
      <c r="V18" s="128">
        <v>2</v>
      </c>
      <c r="W18" s="128">
        <v>9</v>
      </c>
      <c r="X18" s="128">
        <v>9</v>
      </c>
      <c r="Y18" s="128">
        <v>5</v>
      </c>
      <c r="Z18" s="130">
        <f>SUM(Tabla43[[#This Row],[2002]:[2023]])</f>
        <v>343</v>
      </c>
    </row>
    <row r="19" spans="2:26" ht="16.5" x14ac:dyDescent="0.25">
      <c r="B19" s="127" t="s">
        <v>17</v>
      </c>
      <c r="C19" s="131">
        <v>1</v>
      </c>
      <c r="D19" s="131" t="s">
        <v>59</v>
      </c>
      <c r="E19" s="131">
        <v>1</v>
      </c>
      <c r="F19" s="131">
        <v>6</v>
      </c>
      <c r="G19" s="131">
        <v>6</v>
      </c>
      <c r="H19" s="131">
        <v>6</v>
      </c>
      <c r="I19" s="131">
        <v>4</v>
      </c>
      <c r="J19" s="131">
        <v>30</v>
      </c>
      <c r="K19" s="131">
        <v>31</v>
      </c>
      <c r="L19" s="131">
        <v>4</v>
      </c>
      <c r="M19" s="131">
        <v>44</v>
      </c>
      <c r="N19" s="131">
        <v>10</v>
      </c>
      <c r="O19" s="131">
        <v>7</v>
      </c>
      <c r="P19" s="131">
        <v>13</v>
      </c>
      <c r="Q19" s="131">
        <v>25</v>
      </c>
      <c r="R19" s="131">
        <v>14</v>
      </c>
      <c r="S19" s="131">
        <v>4</v>
      </c>
      <c r="T19" s="131">
        <v>6</v>
      </c>
      <c r="U19" s="131" t="s">
        <v>59</v>
      </c>
      <c r="V19" s="131">
        <v>7</v>
      </c>
      <c r="W19" s="131">
        <v>13</v>
      </c>
      <c r="X19" s="131">
        <v>22</v>
      </c>
      <c r="Y19" s="131">
        <v>22</v>
      </c>
      <c r="Z19" s="130">
        <f>SUM(Tabla43[[#This Row],[2002]:[2023]])</f>
        <v>254</v>
      </c>
    </row>
    <row r="20" spans="2:26" x14ac:dyDescent="0.25">
      <c r="B20" s="127" t="s">
        <v>24</v>
      </c>
      <c r="C20" s="128" t="s">
        <v>59</v>
      </c>
      <c r="D20" s="128" t="s">
        <v>59</v>
      </c>
      <c r="E20" s="128">
        <v>5</v>
      </c>
      <c r="F20" s="128">
        <v>9</v>
      </c>
      <c r="G20" s="128">
        <v>2</v>
      </c>
      <c r="H20" s="128">
        <v>17</v>
      </c>
      <c r="I20" s="128">
        <v>7</v>
      </c>
      <c r="J20" s="128">
        <v>23</v>
      </c>
      <c r="K20" s="128">
        <v>35</v>
      </c>
      <c r="L20" s="128">
        <v>23</v>
      </c>
      <c r="M20" s="128">
        <v>5</v>
      </c>
      <c r="N20" s="128">
        <v>1</v>
      </c>
      <c r="O20" s="128">
        <v>5</v>
      </c>
      <c r="P20" s="128">
        <v>26</v>
      </c>
      <c r="Q20" s="128">
        <v>22</v>
      </c>
      <c r="R20" s="128">
        <v>4</v>
      </c>
      <c r="S20" s="128">
        <v>19</v>
      </c>
      <c r="T20" s="128">
        <v>22</v>
      </c>
      <c r="U20" s="128">
        <v>10</v>
      </c>
      <c r="V20" s="128">
        <v>3</v>
      </c>
      <c r="W20" s="128">
        <v>10</v>
      </c>
      <c r="X20" s="128">
        <v>2</v>
      </c>
      <c r="Y20" s="128">
        <v>12</v>
      </c>
      <c r="Z20" s="130">
        <f>SUM(Tabla43[[#This Row],[2002]:[2023]])</f>
        <v>250</v>
      </c>
    </row>
    <row r="21" spans="2:26" ht="33" x14ac:dyDescent="0.25">
      <c r="B21" s="127" t="s">
        <v>23</v>
      </c>
      <c r="C21" s="131" t="s">
        <v>59</v>
      </c>
      <c r="D21" s="131" t="s">
        <v>59</v>
      </c>
      <c r="E21" s="131">
        <v>1</v>
      </c>
      <c r="F21" s="131" t="s">
        <v>59</v>
      </c>
      <c r="G21" s="131">
        <v>5</v>
      </c>
      <c r="H21" s="131">
        <v>12</v>
      </c>
      <c r="I21" s="131">
        <v>9</v>
      </c>
      <c r="J21" s="131">
        <v>10</v>
      </c>
      <c r="K21" s="131">
        <v>5</v>
      </c>
      <c r="L21" s="131">
        <v>29</v>
      </c>
      <c r="M21" s="131">
        <v>23</v>
      </c>
      <c r="N21" s="131">
        <v>5</v>
      </c>
      <c r="O21" s="131">
        <v>8</v>
      </c>
      <c r="P21" s="131">
        <v>9</v>
      </c>
      <c r="Q21" s="131">
        <v>32</v>
      </c>
      <c r="R21" s="131">
        <v>15</v>
      </c>
      <c r="S21" s="131">
        <v>23</v>
      </c>
      <c r="T21" s="131">
        <v>7</v>
      </c>
      <c r="U21" s="131">
        <v>2</v>
      </c>
      <c r="V21" s="131">
        <v>4</v>
      </c>
      <c r="W21" s="131">
        <v>27</v>
      </c>
      <c r="X21" s="131">
        <v>8</v>
      </c>
      <c r="Y21" s="131">
        <v>8</v>
      </c>
      <c r="Z21" s="130">
        <f>SUM(Tabla43[[#This Row],[2002]:[2023]])</f>
        <v>234</v>
      </c>
    </row>
    <row r="22" spans="2:26" ht="33" x14ac:dyDescent="0.25">
      <c r="B22" s="127" t="s">
        <v>25</v>
      </c>
      <c r="C22" s="128" t="s">
        <v>59</v>
      </c>
      <c r="D22" s="128" t="s">
        <v>59</v>
      </c>
      <c r="E22" s="128" t="s">
        <v>59</v>
      </c>
      <c r="F22" s="128">
        <v>2</v>
      </c>
      <c r="G22" s="128">
        <v>11</v>
      </c>
      <c r="H22" s="128">
        <v>15</v>
      </c>
      <c r="I22" s="128">
        <v>6</v>
      </c>
      <c r="J22" s="128">
        <v>12</v>
      </c>
      <c r="K22" s="128">
        <v>10</v>
      </c>
      <c r="L22" s="128">
        <v>14</v>
      </c>
      <c r="M22" s="128">
        <v>4</v>
      </c>
      <c r="N22" s="128">
        <v>41</v>
      </c>
      <c r="O22" s="128">
        <v>9</v>
      </c>
      <c r="P22" s="128">
        <v>3</v>
      </c>
      <c r="Q22" s="128" t="s">
        <v>59</v>
      </c>
      <c r="R22" s="128">
        <v>2</v>
      </c>
      <c r="S22" s="128">
        <v>1</v>
      </c>
      <c r="T22" s="128">
        <v>9</v>
      </c>
      <c r="U22" s="128">
        <v>2</v>
      </c>
      <c r="V22" s="128">
        <v>19</v>
      </c>
      <c r="W22" s="128">
        <v>7</v>
      </c>
      <c r="X22" s="128">
        <v>8</v>
      </c>
      <c r="Y22" s="128">
        <v>45</v>
      </c>
      <c r="Z22" s="130">
        <f>SUM(Tabla43[[#This Row],[2002]:[2023]])</f>
        <v>175</v>
      </c>
    </row>
    <row r="23" spans="2:26" ht="16.5" x14ac:dyDescent="0.25">
      <c r="B23" s="127" t="s">
        <v>21</v>
      </c>
      <c r="C23" s="131" t="s">
        <v>59</v>
      </c>
      <c r="D23" s="131" t="s">
        <v>59</v>
      </c>
      <c r="E23" s="131" t="s">
        <v>59</v>
      </c>
      <c r="F23" s="131" t="s">
        <v>59</v>
      </c>
      <c r="G23" s="131" t="s">
        <v>59</v>
      </c>
      <c r="H23" s="131">
        <v>3</v>
      </c>
      <c r="I23" s="131">
        <v>3</v>
      </c>
      <c r="J23" s="131">
        <v>11</v>
      </c>
      <c r="K23" s="131">
        <v>2</v>
      </c>
      <c r="L23" s="131">
        <v>13</v>
      </c>
      <c r="M23" s="131">
        <v>10</v>
      </c>
      <c r="N23" s="131">
        <v>5</v>
      </c>
      <c r="O23" s="131">
        <v>1</v>
      </c>
      <c r="P23" s="131">
        <v>5</v>
      </c>
      <c r="Q23" s="131">
        <v>5</v>
      </c>
      <c r="R23" s="131">
        <v>6</v>
      </c>
      <c r="S23" s="131">
        <v>23</v>
      </c>
      <c r="T23" s="131">
        <v>12</v>
      </c>
      <c r="U23" s="131">
        <v>36</v>
      </c>
      <c r="V23" s="131">
        <v>24</v>
      </c>
      <c r="W23" s="131">
        <v>24</v>
      </c>
      <c r="X23" s="131">
        <v>14</v>
      </c>
      <c r="Y23" s="131">
        <v>8</v>
      </c>
      <c r="Z23" s="130">
        <f>SUM(Tabla43[[#This Row],[2002]:[2023]])</f>
        <v>197</v>
      </c>
    </row>
    <row r="24" spans="2:26" x14ac:dyDescent="0.25">
      <c r="B24" s="127" t="s">
        <v>20</v>
      </c>
      <c r="C24" s="128" t="s">
        <v>59</v>
      </c>
      <c r="D24" s="128">
        <v>1</v>
      </c>
      <c r="E24" s="128">
        <v>1</v>
      </c>
      <c r="F24" s="128">
        <v>4</v>
      </c>
      <c r="G24" s="128">
        <v>2</v>
      </c>
      <c r="H24" s="128">
        <v>9</v>
      </c>
      <c r="I24" s="128">
        <v>3</v>
      </c>
      <c r="J24" s="128">
        <v>2</v>
      </c>
      <c r="K24" s="128">
        <v>12</v>
      </c>
      <c r="L24" s="128">
        <v>7</v>
      </c>
      <c r="M24" s="128">
        <v>16</v>
      </c>
      <c r="N24" s="128">
        <v>3</v>
      </c>
      <c r="O24" s="128">
        <v>8</v>
      </c>
      <c r="P24" s="128">
        <v>3</v>
      </c>
      <c r="Q24" s="128">
        <v>7</v>
      </c>
      <c r="R24" s="128">
        <v>5</v>
      </c>
      <c r="S24" s="128">
        <v>9</v>
      </c>
      <c r="T24" s="128">
        <v>14</v>
      </c>
      <c r="U24" s="128">
        <v>18</v>
      </c>
      <c r="V24" s="128">
        <v>16</v>
      </c>
      <c r="W24" s="128">
        <v>16</v>
      </c>
      <c r="X24" s="128">
        <v>17</v>
      </c>
      <c r="Y24" s="128">
        <v>9</v>
      </c>
      <c r="Z24" s="130">
        <f>SUM(Tabla43[[#This Row],[2002]:[2023]])</f>
        <v>173</v>
      </c>
    </row>
    <row r="25" spans="2:26" x14ac:dyDescent="0.25">
      <c r="B25" s="127" t="s">
        <v>16</v>
      </c>
      <c r="C25" s="131" t="s">
        <v>59</v>
      </c>
      <c r="D25" s="131" t="s">
        <v>59</v>
      </c>
      <c r="E25" s="131">
        <v>3</v>
      </c>
      <c r="F25" s="131">
        <v>2</v>
      </c>
      <c r="G25" s="131">
        <v>6</v>
      </c>
      <c r="H25" s="131">
        <v>15</v>
      </c>
      <c r="I25" s="131">
        <v>10</v>
      </c>
      <c r="J25" s="131" t="s">
        <v>59</v>
      </c>
      <c r="K25" s="131">
        <v>11</v>
      </c>
      <c r="L25" s="131">
        <v>12</v>
      </c>
      <c r="M25" s="131">
        <v>1</v>
      </c>
      <c r="N25" s="131" t="s">
        <v>59</v>
      </c>
      <c r="O25" s="131">
        <v>5</v>
      </c>
      <c r="P25" s="131">
        <v>8</v>
      </c>
      <c r="Q25" s="131">
        <v>29</v>
      </c>
      <c r="R25" s="131">
        <v>10</v>
      </c>
      <c r="S25" s="131">
        <v>4</v>
      </c>
      <c r="T25" s="131">
        <v>6</v>
      </c>
      <c r="U25" s="131">
        <v>5</v>
      </c>
      <c r="V25" s="131" t="s">
        <v>59</v>
      </c>
      <c r="W25" s="131">
        <v>10</v>
      </c>
      <c r="X25" s="131">
        <v>4</v>
      </c>
      <c r="Y25" s="131">
        <v>3</v>
      </c>
      <c r="Z25" s="130">
        <f>SUM(Tabla43[[#This Row],[2002]:[2023]])</f>
        <v>141</v>
      </c>
    </row>
    <row r="26" spans="2:26" ht="16.5" x14ac:dyDescent="0.25">
      <c r="B26" s="127" t="s">
        <v>29</v>
      </c>
      <c r="C26" s="128" t="s">
        <v>59</v>
      </c>
      <c r="D26" s="128" t="s">
        <v>59</v>
      </c>
      <c r="E26" s="128" t="s">
        <v>59</v>
      </c>
      <c r="F26" s="128" t="s">
        <v>59</v>
      </c>
      <c r="G26" s="128" t="s">
        <v>59</v>
      </c>
      <c r="H26" s="128">
        <v>3</v>
      </c>
      <c r="I26" s="128" t="s">
        <v>59</v>
      </c>
      <c r="J26" s="128">
        <v>2</v>
      </c>
      <c r="K26" s="128" t="s">
        <v>59</v>
      </c>
      <c r="L26" s="128" t="s">
        <v>59</v>
      </c>
      <c r="M26" s="128">
        <v>6</v>
      </c>
      <c r="N26" s="128" t="s">
        <v>59</v>
      </c>
      <c r="O26" s="128">
        <v>4</v>
      </c>
      <c r="P26" s="128">
        <v>25</v>
      </c>
      <c r="Q26" s="128">
        <v>11</v>
      </c>
      <c r="R26" s="128">
        <v>5</v>
      </c>
      <c r="S26" s="128">
        <v>8</v>
      </c>
      <c r="T26" s="128">
        <v>14</v>
      </c>
      <c r="U26" s="128">
        <v>12</v>
      </c>
      <c r="V26" s="128">
        <v>1</v>
      </c>
      <c r="W26" s="128">
        <v>5</v>
      </c>
      <c r="X26" s="128" t="s">
        <v>59</v>
      </c>
      <c r="Y26" s="128" t="s">
        <v>59</v>
      </c>
      <c r="Z26" s="130">
        <f>SUM(Tabla43[[#This Row],[2002]:[2023]])</f>
        <v>96</v>
      </c>
    </row>
    <row r="27" spans="2:26" x14ac:dyDescent="0.25">
      <c r="B27" s="127" t="s">
        <v>26</v>
      </c>
      <c r="C27" s="132" t="s">
        <v>59</v>
      </c>
      <c r="D27" s="131" t="s">
        <v>59</v>
      </c>
      <c r="E27" s="131">
        <v>2</v>
      </c>
      <c r="F27" s="131" t="s">
        <v>59</v>
      </c>
      <c r="G27" s="131" t="s">
        <v>59</v>
      </c>
      <c r="H27" s="131">
        <v>1</v>
      </c>
      <c r="I27" s="131" t="s">
        <v>59</v>
      </c>
      <c r="J27" s="131">
        <v>1</v>
      </c>
      <c r="K27" s="131">
        <v>2</v>
      </c>
      <c r="L27" s="131">
        <v>12</v>
      </c>
      <c r="M27" s="131" t="s">
        <v>59</v>
      </c>
      <c r="N27" s="131">
        <v>8</v>
      </c>
      <c r="O27" s="131">
        <v>7</v>
      </c>
      <c r="P27" s="131">
        <v>2</v>
      </c>
      <c r="Q27" s="131">
        <v>19</v>
      </c>
      <c r="R27" s="131">
        <v>3</v>
      </c>
      <c r="S27" s="131">
        <v>11</v>
      </c>
      <c r="T27" s="131" t="s">
        <v>59</v>
      </c>
      <c r="U27" s="131" t="s">
        <v>59</v>
      </c>
      <c r="V27" s="133">
        <v>3</v>
      </c>
      <c r="W27" s="131">
        <v>1</v>
      </c>
      <c r="X27" s="131">
        <v>2</v>
      </c>
      <c r="Y27" s="131">
        <v>16</v>
      </c>
      <c r="Z27" s="130">
        <f>SUM(Tabla43[[#This Row],[2002]:[2023]])</f>
        <v>74</v>
      </c>
    </row>
    <row r="28" spans="2:26" ht="24.75" x14ac:dyDescent="0.25">
      <c r="B28" s="127" t="s">
        <v>28</v>
      </c>
      <c r="C28" s="134" t="s">
        <v>59</v>
      </c>
      <c r="D28" s="128">
        <v>2</v>
      </c>
      <c r="E28" s="128" t="s">
        <v>59</v>
      </c>
      <c r="F28" s="128">
        <v>2</v>
      </c>
      <c r="G28" s="128">
        <v>1</v>
      </c>
      <c r="H28" s="128">
        <v>27</v>
      </c>
      <c r="I28" s="128" t="s">
        <v>59</v>
      </c>
      <c r="J28" s="128" t="s">
        <v>59</v>
      </c>
      <c r="K28" s="128">
        <v>7</v>
      </c>
      <c r="L28" s="128">
        <v>16</v>
      </c>
      <c r="M28" s="128">
        <v>10</v>
      </c>
      <c r="N28" s="128" t="s">
        <v>59</v>
      </c>
      <c r="O28" s="128" t="s">
        <v>59</v>
      </c>
      <c r="P28" s="128">
        <v>6</v>
      </c>
      <c r="Q28" s="128" t="s">
        <v>59</v>
      </c>
      <c r="R28" s="128" t="s">
        <v>59</v>
      </c>
      <c r="S28" s="128">
        <v>6</v>
      </c>
      <c r="T28" s="128" t="s">
        <v>59</v>
      </c>
      <c r="U28" s="128" t="s">
        <v>59</v>
      </c>
      <c r="V28" s="135" t="s">
        <v>59</v>
      </c>
      <c r="W28" s="128" t="s">
        <v>59</v>
      </c>
      <c r="X28" s="128" t="s">
        <v>59</v>
      </c>
      <c r="Y28" s="128" t="s">
        <v>59</v>
      </c>
      <c r="Z28" s="130">
        <f>SUM(Tabla43[[#This Row],[2002]:[2023]])</f>
        <v>77</v>
      </c>
    </row>
    <row r="29" spans="2:26" ht="24.75" x14ac:dyDescent="0.25">
      <c r="B29" s="127" t="s">
        <v>30</v>
      </c>
      <c r="C29" s="132" t="s">
        <v>59</v>
      </c>
      <c r="D29" s="131" t="s">
        <v>59</v>
      </c>
      <c r="E29" s="131" t="s">
        <v>59</v>
      </c>
      <c r="F29" s="131" t="s">
        <v>59</v>
      </c>
      <c r="G29" s="131">
        <v>5</v>
      </c>
      <c r="H29" s="131">
        <v>1</v>
      </c>
      <c r="I29" s="131">
        <v>6</v>
      </c>
      <c r="J29" s="131">
        <v>3</v>
      </c>
      <c r="K29" s="131" t="s">
        <v>59</v>
      </c>
      <c r="L29" s="131">
        <v>6</v>
      </c>
      <c r="M29" s="131">
        <v>4</v>
      </c>
      <c r="N29" s="131">
        <v>1</v>
      </c>
      <c r="O29" s="131">
        <v>2</v>
      </c>
      <c r="P29" s="131" t="s">
        <v>59</v>
      </c>
      <c r="Q29" s="131">
        <v>11</v>
      </c>
      <c r="R29" s="131">
        <v>6</v>
      </c>
      <c r="S29" s="131">
        <v>6</v>
      </c>
      <c r="T29" s="131">
        <v>9</v>
      </c>
      <c r="U29" s="131" t="s">
        <v>59</v>
      </c>
      <c r="V29" s="133" t="s">
        <v>59</v>
      </c>
      <c r="W29" s="131">
        <v>1</v>
      </c>
      <c r="X29" s="131" t="s">
        <v>59</v>
      </c>
      <c r="Y29" s="131" t="s">
        <v>59</v>
      </c>
      <c r="Z29" s="130">
        <f>SUM(Tabla43[[#This Row],[2002]:[2023]])</f>
        <v>61</v>
      </c>
    </row>
    <row r="30" spans="2:26" ht="24.75" x14ac:dyDescent="0.25">
      <c r="B30" s="127" t="s">
        <v>27</v>
      </c>
      <c r="C30" s="134" t="s">
        <v>59</v>
      </c>
      <c r="D30" s="128" t="s">
        <v>59</v>
      </c>
      <c r="E30" s="128" t="s">
        <v>59</v>
      </c>
      <c r="F30" s="128" t="s">
        <v>59</v>
      </c>
      <c r="G30" s="128">
        <v>1</v>
      </c>
      <c r="H30" s="128">
        <v>5</v>
      </c>
      <c r="I30" s="128">
        <v>2</v>
      </c>
      <c r="J30" s="128">
        <v>2</v>
      </c>
      <c r="K30" s="128">
        <v>4</v>
      </c>
      <c r="L30" s="128">
        <v>3</v>
      </c>
      <c r="M30" s="128" t="s">
        <v>59</v>
      </c>
      <c r="N30" s="128">
        <v>1</v>
      </c>
      <c r="O30" s="128" t="s">
        <v>59</v>
      </c>
      <c r="P30" s="128">
        <v>21</v>
      </c>
      <c r="Q30" s="128" t="s">
        <v>59</v>
      </c>
      <c r="R30" s="128">
        <v>2</v>
      </c>
      <c r="S30" s="128" t="s">
        <v>59</v>
      </c>
      <c r="T30" s="128">
        <v>6</v>
      </c>
      <c r="U30" s="128">
        <v>4</v>
      </c>
      <c r="V30" s="135">
        <v>5</v>
      </c>
      <c r="W30" s="128">
        <v>3</v>
      </c>
      <c r="X30" s="128" t="s">
        <v>59</v>
      </c>
      <c r="Y30" s="128" t="s">
        <v>59</v>
      </c>
      <c r="Z30" s="130">
        <f>SUM(Tabla43[[#This Row],[2002]:[2023]])</f>
        <v>59</v>
      </c>
    </row>
    <row r="31" spans="2:26" ht="16.5" x14ac:dyDescent="0.25">
      <c r="B31" s="127" t="s">
        <v>31</v>
      </c>
      <c r="C31" s="132" t="s">
        <v>59</v>
      </c>
      <c r="D31" s="131" t="s">
        <v>59</v>
      </c>
      <c r="E31" s="131">
        <v>2</v>
      </c>
      <c r="F31" s="131" t="s">
        <v>59</v>
      </c>
      <c r="G31" s="131">
        <v>2</v>
      </c>
      <c r="H31" s="131">
        <v>6</v>
      </c>
      <c r="I31" s="131" t="s">
        <v>59</v>
      </c>
      <c r="J31" s="131" t="s">
        <v>59</v>
      </c>
      <c r="K31" s="131" t="s">
        <v>59</v>
      </c>
      <c r="L31" s="131" t="s">
        <v>59</v>
      </c>
      <c r="M31" s="131" t="s">
        <v>59</v>
      </c>
      <c r="N31" s="131" t="s">
        <v>59</v>
      </c>
      <c r="O31" s="131">
        <v>1</v>
      </c>
      <c r="P31" s="131" t="s">
        <v>59</v>
      </c>
      <c r="Q31" s="131" t="s">
        <v>59</v>
      </c>
      <c r="R31" s="131">
        <v>13</v>
      </c>
      <c r="S31" s="131">
        <v>28</v>
      </c>
      <c r="T31" s="131" t="s">
        <v>59</v>
      </c>
      <c r="U31" s="131" t="s">
        <v>59</v>
      </c>
      <c r="V31" s="133" t="s">
        <v>59</v>
      </c>
      <c r="W31" s="131" t="s">
        <v>59</v>
      </c>
      <c r="X31" s="131" t="s">
        <v>59</v>
      </c>
      <c r="Y31" s="131" t="s">
        <v>59</v>
      </c>
      <c r="Z31" s="130">
        <f>SUM(Tabla43[[#This Row],[2002]:[2023]])</f>
        <v>52</v>
      </c>
    </row>
    <row r="32" spans="2:26" ht="16.5" x14ac:dyDescent="0.25">
      <c r="B32" s="127" t="s">
        <v>32</v>
      </c>
      <c r="C32" s="134" t="s">
        <v>59</v>
      </c>
      <c r="D32" s="128" t="s">
        <v>59</v>
      </c>
      <c r="E32" s="128" t="s">
        <v>59</v>
      </c>
      <c r="F32" s="128">
        <v>1</v>
      </c>
      <c r="G32" s="128" t="s">
        <v>59</v>
      </c>
      <c r="H32" s="128" t="s">
        <v>59</v>
      </c>
      <c r="I32" s="128" t="s">
        <v>59</v>
      </c>
      <c r="J32" s="128">
        <v>1</v>
      </c>
      <c r="K32" s="128">
        <v>3</v>
      </c>
      <c r="L32" s="128" t="s">
        <v>59</v>
      </c>
      <c r="M32" s="128" t="s">
        <v>59</v>
      </c>
      <c r="N32" s="128" t="s">
        <v>59</v>
      </c>
      <c r="O32" s="128" t="s">
        <v>59</v>
      </c>
      <c r="P32" s="128" t="s">
        <v>59</v>
      </c>
      <c r="Q32" s="128" t="s">
        <v>59</v>
      </c>
      <c r="R32" s="128" t="s">
        <v>59</v>
      </c>
      <c r="S32" s="128">
        <v>12</v>
      </c>
      <c r="T32" s="128" t="s">
        <v>59</v>
      </c>
      <c r="U32" s="128" t="s">
        <v>59</v>
      </c>
      <c r="V32" s="135" t="s">
        <v>59</v>
      </c>
      <c r="W32" s="128" t="s">
        <v>59</v>
      </c>
      <c r="X32" s="128" t="s">
        <v>59</v>
      </c>
      <c r="Y32" s="128" t="s">
        <v>59</v>
      </c>
      <c r="Z32" s="130">
        <f>SUM(Tabla43[[#This Row],[2002]:[2023]])</f>
        <v>17</v>
      </c>
    </row>
    <row r="33" spans="2:26" x14ac:dyDescent="0.25">
      <c r="B33" s="127" t="s">
        <v>34</v>
      </c>
      <c r="C33" s="136">
        <f>SUBTOTAL(109,C4:C32)</f>
        <v>7</v>
      </c>
      <c r="D33" s="136">
        <f>SUBTOTAL(109,D4:D32)</f>
        <v>40</v>
      </c>
      <c r="E33" s="136">
        <f>SUBTOTAL(109,E4:E32)</f>
        <v>349</v>
      </c>
      <c r="F33" s="136">
        <f>SUBTOTAL(109,F4:F32)</f>
        <v>461</v>
      </c>
      <c r="G33" s="136">
        <f>SUBTOTAL(109,G4:G32)</f>
        <v>563</v>
      </c>
      <c r="H33" s="136">
        <f>SUBTOTAL(109,H4:H32)</f>
        <v>1631</v>
      </c>
      <c r="I33" s="136">
        <f>SUBTOTAL(109,I4:I32)</f>
        <v>1116</v>
      </c>
      <c r="J33" s="136">
        <f>SUBTOTAL(109,J4:J32)</f>
        <v>1385</v>
      </c>
      <c r="K33" s="136">
        <f>SUBTOTAL(109,K4:K32)</f>
        <v>1911</v>
      </c>
      <c r="L33" s="136">
        <f>SUBTOTAL(109,L4:L32)</f>
        <v>1652</v>
      </c>
      <c r="M33" s="136">
        <f>SUBTOTAL(109,M4:M32)</f>
        <v>1819</v>
      </c>
      <c r="N33" s="136">
        <f>SUBTOTAL(109,N4:N32)</f>
        <v>1361</v>
      </c>
      <c r="O33" s="136">
        <f>SUBTOTAL(109,O4:O32)</f>
        <v>2134</v>
      </c>
      <c r="P33" s="136">
        <f>SUBTOTAL(109,P4:P32)</f>
        <v>2715</v>
      </c>
      <c r="Q33" s="136">
        <f>SUBTOTAL(109,Q4:Q32)</f>
        <v>2560</v>
      </c>
      <c r="R33" s="136">
        <f>SUBTOTAL(109,R4:R32)</f>
        <v>2792</v>
      </c>
      <c r="S33" s="136">
        <f>SUBTOTAL(109,S4:S32)</f>
        <v>2462</v>
      </c>
      <c r="T33" s="136">
        <f>SUBTOTAL(109,T4:T32)</f>
        <v>1587</v>
      </c>
      <c r="U33" s="136">
        <f>SUBTOTAL(109,U4:U32)</f>
        <v>1484</v>
      </c>
      <c r="V33" s="136">
        <f>SUBTOTAL(109,V4:V32)</f>
        <v>1564</v>
      </c>
      <c r="W33" s="136">
        <f>SUBTOTAL(109,W4:W32)</f>
        <v>1730</v>
      </c>
      <c r="X33" s="136">
        <f>SUBTOTAL(109,X4:X32)</f>
        <v>2508</v>
      </c>
      <c r="Y33" s="136">
        <f>SUBTOTAL(109,Y4:Y32)</f>
        <v>2203</v>
      </c>
      <c r="Z33" s="130">
        <f>SUM(Tabla43[[#This Row],[2002]:[2024]])</f>
        <v>36034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3322F-11D3-4418-B076-F7F0D58CF722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0326-F5B2-4295-A0C6-4B81CE335A84}">
  <dimension ref="C3:G19"/>
  <sheetViews>
    <sheetView workbookViewId="0">
      <selection activeCell="C3" sqref="C3:G19"/>
    </sheetView>
  </sheetViews>
  <sheetFormatPr baseColWidth="10" defaultRowHeight="15" x14ac:dyDescent="0.25"/>
  <cols>
    <col min="4" max="4" width="16.28515625" customWidth="1"/>
    <col min="5" max="5" width="14.28515625" customWidth="1"/>
  </cols>
  <sheetData>
    <row r="3" spans="3:7" ht="60" x14ac:dyDescent="0.25">
      <c r="C3" s="84" t="s">
        <v>60</v>
      </c>
      <c r="D3" s="85" t="s">
        <v>78</v>
      </c>
      <c r="E3" s="85" t="s">
        <v>79</v>
      </c>
      <c r="F3" s="85" t="s">
        <v>80</v>
      </c>
      <c r="G3" s="86" t="s">
        <v>34</v>
      </c>
    </row>
    <row r="4" spans="3:7" x14ac:dyDescent="0.25">
      <c r="C4" s="87">
        <v>2002</v>
      </c>
      <c r="D4" s="201">
        <v>0</v>
      </c>
      <c r="E4" s="88">
        <v>1</v>
      </c>
      <c r="F4" s="114">
        <v>13</v>
      </c>
      <c r="G4" s="115">
        <f>SUM(Tabla35[[#This Row],[En proceso 
de Notificación]:[Concluidas]])</f>
        <v>14</v>
      </c>
    </row>
    <row r="5" spans="3:7" x14ac:dyDescent="0.25">
      <c r="C5" s="87">
        <v>2003</v>
      </c>
      <c r="D5" s="202">
        <v>0</v>
      </c>
      <c r="E5" s="91">
        <v>2</v>
      </c>
      <c r="F5" s="116">
        <v>32</v>
      </c>
      <c r="G5" s="115">
        <f>SUM(Tabla35[[#This Row],[En proceso 
de Notificación]:[Concluidas]])</f>
        <v>34</v>
      </c>
    </row>
    <row r="6" spans="3:7" x14ac:dyDescent="0.25">
      <c r="C6" s="87">
        <v>2004</v>
      </c>
      <c r="D6" s="201">
        <v>0</v>
      </c>
      <c r="E6" s="88">
        <v>3</v>
      </c>
      <c r="F6" s="114">
        <v>67</v>
      </c>
      <c r="G6" s="115">
        <f>SUM(Tabla35[[#This Row],[En proceso 
de Notificación]:[Concluidas]])</f>
        <v>70</v>
      </c>
    </row>
    <row r="7" spans="3:7" x14ac:dyDescent="0.25">
      <c r="C7" s="87">
        <v>2005</v>
      </c>
      <c r="D7" s="202">
        <v>0</v>
      </c>
      <c r="E7" s="91">
        <v>1</v>
      </c>
      <c r="F7" s="116">
        <v>61</v>
      </c>
      <c r="G7" s="115">
        <f>SUM(Tabla35[[#This Row],[En proceso 
de Notificación]:[Concluidas]])</f>
        <v>62</v>
      </c>
    </row>
    <row r="8" spans="3:7" x14ac:dyDescent="0.25">
      <c r="C8" s="87">
        <v>2006</v>
      </c>
      <c r="D8" s="201">
        <v>0</v>
      </c>
      <c r="E8" s="88">
        <v>5</v>
      </c>
      <c r="F8" s="114">
        <v>80</v>
      </c>
      <c r="G8" s="115">
        <f>SUM(Tabla35[[#This Row],[En proceso 
de Notificación]:[Concluidas]])</f>
        <v>85</v>
      </c>
    </row>
    <row r="9" spans="3:7" x14ac:dyDescent="0.25">
      <c r="C9" s="87">
        <v>2007</v>
      </c>
      <c r="D9" s="202">
        <v>0</v>
      </c>
      <c r="E9" s="91">
        <v>214</v>
      </c>
      <c r="F9" s="116">
        <v>72</v>
      </c>
      <c r="G9" s="115">
        <f>SUM(Tabla35[[#This Row],[En proceso 
de Notificación]:[Concluidas]])</f>
        <v>286</v>
      </c>
    </row>
    <row r="10" spans="3:7" x14ac:dyDescent="0.25">
      <c r="C10" s="87">
        <v>2008</v>
      </c>
      <c r="D10" s="201">
        <v>0</v>
      </c>
      <c r="E10" s="88">
        <v>173</v>
      </c>
      <c r="F10" s="114">
        <v>53</v>
      </c>
      <c r="G10" s="115">
        <f>SUM(Tabla35[[#This Row],[En proceso 
de Notificación]:[Concluidas]])</f>
        <v>226</v>
      </c>
    </row>
    <row r="11" spans="3:7" x14ac:dyDescent="0.25">
      <c r="C11" s="87">
        <v>2009</v>
      </c>
      <c r="D11" s="202">
        <v>0</v>
      </c>
      <c r="E11" s="91">
        <v>55</v>
      </c>
      <c r="F11" s="116">
        <v>171</v>
      </c>
      <c r="G11" s="115">
        <f>SUM(Tabla35[[#This Row],[En proceso 
de Notificación]:[Concluidas]])</f>
        <v>226</v>
      </c>
    </row>
    <row r="12" spans="3:7" x14ac:dyDescent="0.25">
      <c r="C12" s="87">
        <v>2010</v>
      </c>
      <c r="D12" s="201">
        <v>0</v>
      </c>
      <c r="E12" s="88">
        <v>10</v>
      </c>
      <c r="F12" s="114">
        <v>404</v>
      </c>
      <c r="G12" s="115">
        <f>SUM(Tabla35[[#This Row],[En proceso 
de Notificación]:[Concluidas]])</f>
        <v>414</v>
      </c>
    </row>
    <row r="13" spans="3:7" x14ac:dyDescent="0.25">
      <c r="C13" s="87">
        <v>2011</v>
      </c>
      <c r="D13" s="202">
        <v>0</v>
      </c>
      <c r="E13" s="91">
        <v>8</v>
      </c>
      <c r="F13" s="116">
        <v>373</v>
      </c>
      <c r="G13" s="115">
        <f>SUM(Tabla35[[#This Row],[En proceso 
de Notificación]:[Concluidas]])</f>
        <v>381</v>
      </c>
    </row>
    <row r="14" spans="3:7" x14ac:dyDescent="0.25">
      <c r="C14" s="87">
        <v>2012</v>
      </c>
      <c r="D14" s="201">
        <v>0</v>
      </c>
      <c r="E14" s="88">
        <v>16</v>
      </c>
      <c r="F14" s="114">
        <v>460</v>
      </c>
      <c r="G14" s="115">
        <f>SUM(Tabla35[[#This Row],[En proceso 
de Notificación]:[Concluidas]])</f>
        <v>476</v>
      </c>
    </row>
    <row r="15" spans="3:7" x14ac:dyDescent="0.25">
      <c r="C15" s="87">
        <v>2013</v>
      </c>
      <c r="D15" s="202">
        <v>0</v>
      </c>
      <c r="E15" s="91">
        <v>99</v>
      </c>
      <c r="F15" s="116">
        <v>534</v>
      </c>
      <c r="G15" s="115">
        <f>SUM(Tabla35[[#This Row],[En proceso 
de Notificación]:[Concluidas]])</f>
        <v>633</v>
      </c>
    </row>
    <row r="16" spans="3:7" x14ac:dyDescent="0.25">
      <c r="C16" s="87">
        <v>2014</v>
      </c>
      <c r="D16" s="201">
        <v>0</v>
      </c>
      <c r="E16" s="88">
        <v>62</v>
      </c>
      <c r="F16" s="114">
        <v>737</v>
      </c>
      <c r="G16" s="115">
        <f>SUM(Tabla35[[#This Row],[En proceso 
de Notificación]:[Concluidas]])</f>
        <v>799</v>
      </c>
    </row>
    <row r="17" spans="3:7" x14ac:dyDescent="0.25">
      <c r="C17" s="87">
        <v>2015</v>
      </c>
      <c r="D17" s="202">
        <v>0</v>
      </c>
      <c r="E17" s="91">
        <v>123</v>
      </c>
      <c r="F17" s="116">
        <v>954</v>
      </c>
      <c r="G17" s="115">
        <f>SUM(Tabla35[[#This Row],[En proceso 
de Notificación]:[Concluidas]])</f>
        <v>1077</v>
      </c>
    </row>
    <row r="18" spans="3:7" x14ac:dyDescent="0.25">
      <c r="C18" s="87">
        <v>2016</v>
      </c>
      <c r="D18" s="201">
        <v>0</v>
      </c>
      <c r="E18" s="88">
        <v>1</v>
      </c>
      <c r="F18" s="114">
        <v>0</v>
      </c>
      <c r="G18" s="115">
        <f>SUM(Tabla35[[#This Row],[En proceso 
de Notificación]:[Concluidas]])</f>
        <v>1</v>
      </c>
    </row>
    <row r="19" spans="3:7" x14ac:dyDescent="0.25">
      <c r="C19" s="93" t="s">
        <v>34</v>
      </c>
      <c r="D19" s="155">
        <f>SUBTOTAL(109,D4:D18)</f>
        <v>0</v>
      </c>
      <c r="E19" s="205">
        <f>SUBTOTAL(109,E4:E18)</f>
        <v>773</v>
      </c>
      <c r="F19" s="205">
        <f>SUBTOTAL(109,F4:F18)</f>
        <v>4011</v>
      </c>
      <c r="G19" s="115">
        <f>SUM(Tabla35[[#This Row],[En proceso 
de Notificación]:[Concluidas]])</f>
        <v>4784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F5-65C5-445A-BFEA-F8748412512E}">
  <dimension ref="B3:R32"/>
  <sheetViews>
    <sheetView workbookViewId="0">
      <selection activeCell="B3" sqref="B3:R32"/>
    </sheetView>
  </sheetViews>
  <sheetFormatPr baseColWidth="10" defaultRowHeight="15" x14ac:dyDescent="0.25"/>
  <sheetData>
    <row r="3" spans="2:18" x14ac:dyDescent="0.25">
      <c r="B3" s="96" t="s">
        <v>0</v>
      </c>
      <c r="C3" s="206" t="s">
        <v>35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100" t="s">
        <v>34</v>
      </c>
    </row>
    <row r="4" spans="2:18" x14ac:dyDescent="0.25">
      <c r="B4" s="96"/>
      <c r="C4" s="207" t="s">
        <v>36</v>
      </c>
      <c r="D4" s="207" t="s">
        <v>37</v>
      </c>
      <c r="E4" s="207" t="s">
        <v>38</v>
      </c>
      <c r="F4" s="207" t="s">
        <v>39</v>
      </c>
      <c r="G4" s="207" t="s">
        <v>40</v>
      </c>
      <c r="H4" s="207" t="s">
        <v>41</v>
      </c>
      <c r="I4" s="207" t="s">
        <v>42</v>
      </c>
      <c r="J4" s="207" t="s">
        <v>43</v>
      </c>
      <c r="K4" s="207" t="s">
        <v>44</v>
      </c>
      <c r="L4" s="207" t="s">
        <v>45</v>
      </c>
      <c r="M4" s="207" t="s">
        <v>46</v>
      </c>
      <c r="N4" s="207" t="s">
        <v>47</v>
      </c>
      <c r="O4" s="207" t="s">
        <v>48</v>
      </c>
      <c r="P4" s="207" t="s">
        <v>49</v>
      </c>
      <c r="Q4" s="207" t="s">
        <v>50</v>
      </c>
      <c r="R4" s="100"/>
    </row>
    <row r="5" spans="2:18" ht="36" x14ac:dyDescent="0.25">
      <c r="B5" s="104" t="s">
        <v>4</v>
      </c>
      <c r="C5" s="106" t="s">
        <v>59</v>
      </c>
      <c r="D5" s="106">
        <v>7</v>
      </c>
      <c r="E5" s="106">
        <v>26</v>
      </c>
      <c r="F5" s="106">
        <v>17</v>
      </c>
      <c r="G5" s="106">
        <v>32</v>
      </c>
      <c r="H5" s="106">
        <v>262</v>
      </c>
      <c r="I5" s="106">
        <v>211</v>
      </c>
      <c r="J5" s="106">
        <v>170</v>
      </c>
      <c r="K5" s="106">
        <v>315</v>
      </c>
      <c r="L5" s="106">
        <v>247</v>
      </c>
      <c r="M5" s="106">
        <v>352</v>
      </c>
      <c r="N5" s="106">
        <v>488</v>
      </c>
      <c r="O5" s="106">
        <v>599</v>
      </c>
      <c r="P5" s="106">
        <v>761</v>
      </c>
      <c r="Q5" s="106">
        <v>1</v>
      </c>
      <c r="R5" s="109">
        <f>SUM(Tabla34[[#This Row],[2002]:[2016]])</f>
        <v>3488</v>
      </c>
    </row>
    <row r="6" spans="2:18" ht="48" x14ac:dyDescent="0.25">
      <c r="B6" s="104" t="s">
        <v>13</v>
      </c>
      <c r="C6" s="111">
        <v>4</v>
      </c>
      <c r="D6" s="111" t="s">
        <v>59</v>
      </c>
      <c r="E6" s="111">
        <v>4</v>
      </c>
      <c r="F6" s="111">
        <v>3</v>
      </c>
      <c r="G6" s="111">
        <v>1</v>
      </c>
      <c r="H6" s="111" t="s">
        <v>59</v>
      </c>
      <c r="I6" s="111">
        <v>1</v>
      </c>
      <c r="J6" s="111">
        <v>18</v>
      </c>
      <c r="K6" s="111">
        <v>57</v>
      </c>
      <c r="L6" s="111">
        <v>67</v>
      </c>
      <c r="M6" s="111">
        <v>31</v>
      </c>
      <c r="N6" s="111">
        <v>20</v>
      </c>
      <c r="O6" s="111">
        <v>53</v>
      </c>
      <c r="P6" s="111">
        <v>70</v>
      </c>
      <c r="Q6" s="111" t="s">
        <v>59</v>
      </c>
      <c r="R6" s="109">
        <f>SUM(Tabla34[[#This Row],[2002]:[2016]])</f>
        <v>329</v>
      </c>
    </row>
    <row r="7" spans="2:18" ht="60" x14ac:dyDescent="0.25">
      <c r="B7" s="104" t="s">
        <v>7</v>
      </c>
      <c r="C7" s="106">
        <v>1</v>
      </c>
      <c r="D7" s="106" t="s">
        <v>59</v>
      </c>
      <c r="E7" s="106">
        <v>4</v>
      </c>
      <c r="F7" s="106">
        <v>7</v>
      </c>
      <c r="G7" s="106">
        <v>3</v>
      </c>
      <c r="H7" s="106" t="s">
        <v>59</v>
      </c>
      <c r="I7" s="106" t="s">
        <v>59</v>
      </c>
      <c r="J7" s="106" t="s">
        <v>59</v>
      </c>
      <c r="K7" s="106">
        <v>1</v>
      </c>
      <c r="L7" s="106" t="s">
        <v>59</v>
      </c>
      <c r="M7" s="106">
        <v>6</v>
      </c>
      <c r="N7" s="106">
        <v>46</v>
      </c>
      <c r="O7" s="106">
        <v>56</v>
      </c>
      <c r="P7" s="106">
        <v>37</v>
      </c>
      <c r="Q7" s="106" t="s">
        <v>59</v>
      </c>
      <c r="R7" s="109">
        <f>SUM(Tabla34[[#This Row],[2002]:[2016]])</f>
        <v>161</v>
      </c>
    </row>
    <row r="8" spans="2:18" ht="36" x14ac:dyDescent="0.25">
      <c r="B8" s="104" t="s">
        <v>5</v>
      </c>
      <c r="C8" s="111">
        <v>2</v>
      </c>
      <c r="D8" s="111">
        <v>4</v>
      </c>
      <c r="E8" s="111">
        <v>3</v>
      </c>
      <c r="F8" s="111">
        <v>4</v>
      </c>
      <c r="G8" s="111">
        <v>4</v>
      </c>
      <c r="H8" s="111">
        <v>3</v>
      </c>
      <c r="I8" s="111">
        <v>2</v>
      </c>
      <c r="J8" s="111">
        <v>1</v>
      </c>
      <c r="K8" s="111">
        <v>4</v>
      </c>
      <c r="L8" s="111">
        <v>8</v>
      </c>
      <c r="M8" s="111">
        <v>11</v>
      </c>
      <c r="N8" s="111">
        <v>3</v>
      </c>
      <c r="O8" s="111">
        <v>8</v>
      </c>
      <c r="P8" s="111">
        <v>42</v>
      </c>
      <c r="Q8" s="111" t="s">
        <v>59</v>
      </c>
      <c r="R8" s="109">
        <f>SUM(Tabla34[[#This Row],[2002]:[2016]])</f>
        <v>99</v>
      </c>
    </row>
    <row r="9" spans="2:18" ht="24" x14ac:dyDescent="0.25">
      <c r="B9" s="104" t="s">
        <v>10</v>
      </c>
      <c r="C9" s="106" t="s">
        <v>59</v>
      </c>
      <c r="D9" s="106">
        <v>1</v>
      </c>
      <c r="E9" s="106">
        <v>4</v>
      </c>
      <c r="F9" s="106">
        <v>1</v>
      </c>
      <c r="G9" s="106">
        <v>5</v>
      </c>
      <c r="H9" s="106">
        <v>4</v>
      </c>
      <c r="I9" s="106">
        <v>3</v>
      </c>
      <c r="J9" s="106">
        <v>20</v>
      </c>
      <c r="K9" s="106">
        <v>1</v>
      </c>
      <c r="L9" s="106">
        <v>4</v>
      </c>
      <c r="M9" s="106">
        <v>6</v>
      </c>
      <c r="N9" s="106">
        <v>7</v>
      </c>
      <c r="O9" s="106">
        <v>13</v>
      </c>
      <c r="P9" s="106">
        <v>14</v>
      </c>
      <c r="Q9" s="106" t="s">
        <v>59</v>
      </c>
      <c r="R9" s="109">
        <f>SUM(Tabla34[[#This Row],[2002]:[2016]])</f>
        <v>83</v>
      </c>
    </row>
    <row r="10" spans="2:18" ht="48" x14ac:dyDescent="0.25">
      <c r="B10" s="104" t="s">
        <v>23</v>
      </c>
      <c r="C10" s="111" t="s">
        <v>59</v>
      </c>
      <c r="D10" s="111" t="s">
        <v>59</v>
      </c>
      <c r="E10" s="111" t="s">
        <v>59</v>
      </c>
      <c r="F10" s="111" t="s">
        <v>59</v>
      </c>
      <c r="G10" s="111">
        <v>4</v>
      </c>
      <c r="H10" s="111">
        <v>1</v>
      </c>
      <c r="I10" s="111">
        <v>2</v>
      </c>
      <c r="J10" s="111" t="s">
        <v>59</v>
      </c>
      <c r="K10" s="111">
        <v>17</v>
      </c>
      <c r="L10" s="111">
        <v>32</v>
      </c>
      <c r="M10" s="111">
        <v>17</v>
      </c>
      <c r="N10" s="111">
        <v>5</v>
      </c>
      <c r="O10" s="111">
        <v>1</v>
      </c>
      <c r="P10" s="111">
        <v>3</v>
      </c>
      <c r="Q10" s="111" t="s">
        <v>59</v>
      </c>
      <c r="R10" s="109">
        <f>SUM(Tabla34[[#This Row],[2002]:[2016]])</f>
        <v>82</v>
      </c>
    </row>
    <row r="11" spans="2:18" x14ac:dyDescent="0.25">
      <c r="B11" s="104" t="s">
        <v>11</v>
      </c>
      <c r="C11" s="106" t="s">
        <v>59</v>
      </c>
      <c r="D11" s="106">
        <v>1</v>
      </c>
      <c r="E11" s="106">
        <v>4</v>
      </c>
      <c r="F11" s="106" t="s">
        <v>59</v>
      </c>
      <c r="G11" s="106">
        <v>8</v>
      </c>
      <c r="H11" s="106">
        <v>2</v>
      </c>
      <c r="I11" s="106" t="s">
        <v>59</v>
      </c>
      <c r="J11" s="106" t="s">
        <v>59</v>
      </c>
      <c r="K11" s="106">
        <v>2</v>
      </c>
      <c r="L11" s="106" t="s">
        <v>59</v>
      </c>
      <c r="M11" s="106">
        <v>12</v>
      </c>
      <c r="N11" s="106">
        <v>20</v>
      </c>
      <c r="O11" s="106">
        <v>6</v>
      </c>
      <c r="P11" s="106">
        <v>24</v>
      </c>
      <c r="Q11" s="106" t="s">
        <v>59</v>
      </c>
      <c r="R11" s="109">
        <f>SUM(Tabla34[[#This Row],[2002]:[2016]])</f>
        <v>79</v>
      </c>
    </row>
    <row r="12" spans="2:18" ht="60" x14ac:dyDescent="0.25">
      <c r="B12" s="104" t="s">
        <v>9</v>
      </c>
      <c r="C12" s="111">
        <v>4</v>
      </c>
      <c r="D12" s="111">
        <v>6</v>
      </c>
      <c r="E12" s="111">
        <v>9</v>
      </c>
      <c r="F12" s="111">
        <v>12</v>
      </c>
      <c r="G12" s="111">
        <v>3</v>
      </c>
      <c r="H12" s="111">
        <v>7</v>
      </c>
      <c r="I12" s="111">
        <v>1</v>
      </c>
      <c r="J12" s="111">
        <v>2</v>
      </c>
      <c r="K12" s="111">
        <v>5</v>
      </c>
      <c r="L12" s="111">
        <v>3</v>
      </c>
      <c r="M12" s="111">
        <v>9</v>
      </c>
      <c r="N12" s="111">
        <v>2</v>
      </c>
      <c r="O12" s="111">
        <v>4</v>
      </c>
      <c r="P12" s="111">
        <v>11</v>
      </c>
      <c r="Q12" s="111" t="s">
        <v>59</v>
      </c>
      <c r="R12" s="109">
        <f>SUM(Tabla34[[#This Row],[2002]:[2016]])</f>
        <v>78</v>
      </c>
    </row>
    <row r="13" spans="2:18" x14ac:dyDescent="0.25">
      <c r="B13" s="104" t="s">
        <v>15</v>
      </c>
      <c r="C13" s="106">
        <v>1</v>
      </c>
      <c r="D13" s="106" t="s">
        <v>59</v>
      </c>
      <c r="E13" s="106">
        <v>3</v>
      </c>
      <c r="F13" s="106">
        <v>2</v>
      </c>
      <c r="G13" s="106" t="s">
        <v>59</v>
      </c>
      <c r="H13" s="106" t="s">
        <v>59</v>
      </c>
      <c r="I13" s="106" t="s">
        <v>59</v>
      </c>
      <c r="J13" s="106" t="s">
        <v>59</v>
      </c>
      <c r="K13" s="106" t="s">
        <v>59</v>
      </c>
      <c r="L13" s="106" t="s">
        <v>59</v>
      </c>
      <c r="M13" s="106">
        <v>3</v>
      </c>
      <c r="N13" s="106">
        <v>11</v>
      </c>
      <c r="O13" s="106">
        <v>10</v>
      </c>
      <c r="P13" s="106">
        <v>42</v>
      </c>
      <c r="Q13" s="106" t="s">
        <v>59</v>
      </c>
      <c r="R13" s="109">
        <f>SUM(Tabla34[[#This Row],[2002]:[2016]])</f>
        <v>72</v>
      </c>
    </row>
    <row r="14" spans="2:18" ht="60" x14ac:dyDescent="0.25">
      <c r="B14" s="104" t="s">
        <v>8</v>
      </c>
      <c r="C14" s="111" t="s">
        <v>59</v>
      </c>
      <c r="D14" s="111" t="s">
        <v>59</v>
      </c>
      <c r="E14" s="111">
        <v>1</v>
      </c>
      <c r="F14" s="111">
        <v>6</v>
      </c>
      <c r="G14" s="111">
        <v>10</v>
      </c>
      <c r="H14" s="111" t="s">
        <v>59</v>
      </c>
      <c r="I14" s="111" t="s">
        <v>59</v>
      </c>
      <c r="J14" s="111" t="s">
        <v>59</v>
      </c>
      <c r="K14" s="111" t="s">
        <v>59</v>
      </c>
      <c r="L14" s="111" t="s">
        <v>59</v>
      </c>
      <c r="M14" s="111">
        <v>3</v>
      </c>
      <c r="N14" s="111">
        <v>2</v>
      </c>
      <c r="O14" s="111">
        <v>28</v>
      </c>
      <c r="P14" s="111">
        <v>17</v>
      </c>
      <c r="Q14" s="111" t="s">
        <v>59</v>
      </c>
      <c r="R14" s="109">
        <f>SUM(Tabla34[[#This Row],[2002]:[2016]])</f>
        <v>67</v>
      </c>
    </row>
    <row r="15" spans="2:18" ht="36" x14ac:dyDescent="0.25">
      <c r="B15" s="104" t="s">
        <v>6</v>
      </c>
      <c r="C15" s="106">
        <v>1</v>
      </c>
      <c r="D15" s="106">
        <v>1</v>
      </c>
      <c r="E15" s="106">
        <v>7</v>
      </c>
      <c r="F15" s="106">
        <v>4</v>
      </c>
      <c r="G15" s="106">
        <v>3</v>
      </c>
      <c r="H15" s="106">
        <v>2</v>
      </c>
      <c r="I15" s="106">
        <v>3</v>
      </c>
      <c r="J15" s="106">
        <v>4</v>
      </c>
      <c r="K15" s="106">
        <v>4</v>
      </c>
      <c r="L15" s="106">
        <v>2</v>
      </c>
      <c r="M15" s="106" t="s">
        <v>59</v>
      </c>
      <c r="N15" s="106">
        <v>5</v>
      </c>
      <c r="O15" s="106" t="s">
        <v>59</v>
      </c>
      <c r="P15" s="106">
        <v>7</v>
      </c>
      <c r="Q15" s="106" t="s">
        <v>59</v>
      </c>
      <c r="R15" s="109">
        <f>SUM(Tabla34[[#This Row],[2002]:[2016]])</f>
        <v>43</v>
      </c>
    </row>
    <row r="16" spans="2:18" ht="48" x14ac:dyDescent="0.25">
      <c r="B16" s="104" t="s">
        <v>12</v>
      </c>
      <c r="C16" s="111" t="s">
        <v>59</v>
      </c>
      <c r="D16" s="111" t="s">
        <v>59</v>
      </c>
      <c r="E16" s="111" t="s">
        <v>59</v>
      </c>
      <c r="F16" s="111">
        <v>1</v>
      </c>
      <c r="G16" s="111">
        <v>1</v>
      </c>
      <c r="H16" s="111">
        <v>2</v>
      </c>
      <c r="I16" s="111">
        <v>2</v>
      </c>
      <c r="J16" s="111">
        <v>8</v>
      </c>
      <c r="K16" s="111">
        <v>3</v>
      </c>
      <c r="L16" s="111">
        <v>5</v>
      </c>
      <c r="M16" s="111">
        <v>4</v>
      </c>
      <c r="N16" s="111">
        <v>9</v>
      </c>
      <c r="O16" s="111">
        <v>2</v>
      </c>
      <c r="P16" s="111">
        <v>5</v>
      </c>
      <c r="Q16" s="111" t="s">
        <v>59</v>
      </c>
      <c r="R16" s="109">
        <f>SUM(Tabla34[[#This Row],[2002]:[2016]])</f>
        <v>42</v>
      </c>
    </row>
    <row r="17" spans="2:18" x14ac:dyDescent="0.25">
      <c r="B17" s="104" t="s">
        <v>24</v>
      </c>
      <c r="C17" s="106" t="s">
        <v>59</v>
      </c>
      <c r="D17" s="106">
        <v>1</v>
      </c>
      <c r="E17" s="106" t="s">
        <v>59</v>
      </c>
      <c r="F17" s="106" t="s">
        <v>59</v>
      </c>
      <c r="G17" s="106">
        <v>1</v>
      </c>
      <c r="H17" s="106" t="s">
        <v>59</v>
      </c>
      <c r="I17" s="106" t="s">
        <v>59</v>
      </c>
      <c r="J17" s="106" t="s">
        <v>59</v>
      </c>
      <c r="K17" s="106">
        <v>3</v>
      </c>
      <c r="L17" s="106">
        <v>7</v>
      </c>
      <c r="M17" s="106">
        <v>8</v>
      </c>
      <c r="N17" s="106" t="s">
        <v>59</v>
      </c>
      <c r="O17" s="106">
        <v>2</v>
      </c>
      <c r="P17" s="106">
        <v>12</v>
      </c>
      <c r="Q17" s="106" t="s">
        <v>59</v>
      </c>
      <c r="R17" s="109">
        <f>SUM(Tabla34[[#This Row],[2002]:[2016]])</f>
        <v>34</v>
      </c>
    </row>
    <row r="18" spans="2:18" x14ac:dyDescent="0.25">
      <c r="B18" s="104" t="s">
        <v>14</v>
      </c>
      <c r="C18" s="111" t="s">
        <v>59</v>
      </c>
      <c r="D18" s="111" t="s">
        <v>59</v>
      </c>
      <c r="E18" s="111" t="s">
        <v>59</v>
      </c>
      <c r="F18" s="111" t="s">
        <v>59</v>
      </c>
      <c r="G18" s="111" t="s">
        <v>59</v>
      </c>
      <c r="H18" s="111" t="s">
        <v>59</v>
      </c>
      <c r="I18" s="111" t="s">
        <v>59</v>
      </c>
      <c r="J18" s="111">
        <v>1</v>
      </c>
      <c r="K18" s="111" t="s">
        <v>59</v>
      </c>
      <c r="L18" s="111" t="s">
        <v>59</v>
      </c>
      <c r="M18" s="111" t="s">
        <v>59</v>
      </c>
      <c r="N18" s="111" t="s">
        <v>59</v>
      </c>
      <c r="O18" s="111">
        <v>8</v>
      </c>
      <c r="P18" s="111">
        <v>19</v>
      </c>
      <c r="Q18" s="111" t="s">
        <v>59</v>
      </c>
      <c r="R18" s="109">
        <f>SUM(Tabla34[[#This Row],[2002]:[2016]])</f>
        <v>28</v>
      </c>
    </row>
    <row r="19" spans="2:18" x14ac:dyDescent="0.25">
      <c r="B19" s="104" t="s">
        <v>18</v>
      </c>
      <c r="C19" s="106" t="s">
        <v>59</v>
      </c>
      <c r="D19" s="106" t="s">
        <v>59</v>
      </c>
      <c r="E19" s="106" t="s">
        <v>59</v>
      </c>
      <c r="F19" s="106" t="s">
        <v>59</v>
      </c>
      <c r="G19" s="106" t="s">
        <v>59</v>
      </c>
      <c r="H19" s="106" t="s">
        <v>59</v>
      </c>
      <c r="I19" s="106" t="s">
        <v>59</v>
      </c>
      <c r="J19" s="106" t="s">
        <v>59</v>
      </c>
      <c r="K19" s="106">
        <v>1</v>
      </c>
      <c r="L19" s="106">
        <v>2</v>
      </c>
      <c r="M19" s="106">
        <v>4</v>
      </c>
      <c r="N19" s="106">
        <v>4</v>
      </c>
      <c r="O19" s="106">
        <v>4</v>
      </c>
      <c r="P19" s="106">
        <v>4</v>
      </c>
      <c r="Q19" s="106" t="s">
        <v>59</v>
      </c>
      <c r="R19" s="109">
        <f>SUM(Tabla34[[#This Row],[2002]:[2016]])</f>
        <v>19</v>
      </c>
    </row>
    <row r="20" spans="2:18" ht="24" x14ac:dyDescent="0.25">
      <c r="B20" s="104" t="s">
        <v>22</v>
      </c>
      <c r="C20" s="111" t="s">
        <v>59</v>
      </c>
      <c r="D20" s="111">
        <v>4</v>
      </c>
      <c r="E20" s="111">
        <v>3</v>
      </c>
      <c r="F20" s="111">
        <v>1</v>
      </c>
      <c r="G20" s="111">
        <v>2</v>
      </c>
      <c r="H20" s="111" t="s">
        <v>59</v>
      </c>
      <c r="I20" s="111" t="s">
        <v>59</v>
      </c>
      <c r="J20" s="111" t="s">
        <v>59</v>
      </c>
      <c r="K20" s="111" t="s">
        <v>59</v>
      </c>
      <c r="L20" s="111" t="s">
        <v>59</v>
      </c>
      <c r="M20" s="111" t="s">
        <v>59</v>
      </c>
      <c r="N20" s="111">
        <v>6</v>
      </c>
      <c r="O20" s="111" t="s">
        <v>59</v>
      </c>
      <c r="P20" s="111" t="s">
        <v>59</v>
      </c>
      <c r="Q20" s="111" t="s">
        <v>59</v>
      </c>
      <c r="R20" s="109">
        <f>SUM(Tabla34[[#This Row],[2002]:[2016]])</f>
        <v>16</v>
      </c>
    </row>
    <row r="21" spans="2:18" ht="36" x14ac:dyDescent="0.25">
      <c r="B21" s="104" t="s">
        <v>19</v>
      </c>
      <c r="C21" s="106" t="s">
        <v>59</v>
      </c>
      <c r="D21" s="106">
        <v>3</v>
      </c>
      <c r="E21" s="106">
        <v>2</v>
      </c>
      <c r="F21" s="106" t="s">
        <v>59</v>
      </c>
      <c r="G21" s="106" t="s">
        <v>59</v>
      </c>
      <c r="H21" s="106">
        <v>1</v>
      </c>
      <c r="I21" s="106" t="s">
        <v>59</v>
      </c>
      <c r="J21" s="106" t="s">
        <v>59</v>
      </c>
      <c r="K21" s="106" t="s">
        <v>59</v>
      </c>
      <c r="L21" s="106">
        <v>1</v>
      </c>
      <c r="M21" s="106">
        <v>1</v>
      </c>
      <c r="N21" s="106">
        <v>4</v>
      </c>
      <c r="O21" s="106">
        <v>1</v>
      </c>
      <c r="P21" s="106">
        <v>3</v>
      </c>
      <c r="Q21" s="106" t="s">
        <v>59</v>
      </c>
      <c r="R21" s="109">
        <f>SUM(Tabla34[[#This Row],[2002]:[2016]])</f>
        <v>16</v>
      </c>
    </row>
    <row r="22" spans="2:18" x14ac:dyDescent="0.25">
      <c r="B22" s="104" t="s">
        <v>16</v>
      </c>
      <c r="C22" s="111" t="s">
        <v>59</v>
      </c>
      <c r="D22" s="111">
        <v>1</v>
      </c>
      <c r="E22" s="111" t="s">
        <v>59</v>
      </c>
      <c r="F22" s="111">
        <v>1</v>
      </c>
      <c r="G22" s="111">
        <v>5</v>
      </c>
      <c r="H22" s="111" t="s">
        <v>59</v>
      </c>
      <c r="I22" s="111" t="s">
        <v>59</v>
      </c>
      <c r="J22" s="111" t="s">
        <v>59</v>
      </c>
      <c r="K22" s="111" t="s">
        <v>59</v>
      </c>
      <c r="L22" s="111" t="s">
        <v>59</v>
      </c>
      <c r="M22" s="111" t="s">
        <v>59</v>
      </c>
      <c r="N22" s="111" t="s">
        <v>59</v>
      </c>
      <c r="O22" s="111">
        <v>2</v>
      </c>
      <c r="P22" s="111">
        <v>2</v>
      </c>
      <c r="Q22" s="111" t="s">
        <v>59</v>
      </c>
      <c r="R22" s="109">
        <f>SUM(Tabla34[[#This Row],[2002]:[2016]])</f>
        <v>11</v>
      </c>
    </row>
    <row r="23" spans="2:18" ht="36" x14ac:dyDescent="0.25">
      <c r="B23" s="104" t="s">
        <v>30</v>
      </c>
      <c r="C23" s="106" t="s">
        <v>59</v>
      </c>
      <c r="D23" s="106">
        <v>5</v>
      </c>
      <c r="E23" s="106" t="s">
        <v>59</v>
      </c>
      <c r="F23" s="106" t="s">
        <v>59</v>
      </c>
      <c r="G23" s="106">
        <v>1</v>
      </c>
      <c r="H23" s="106" t="s">
        <v>59</v>
      </c>
      <c r="I23" s="106">
        <v>1</v>
      </c>
      <c r="J23" s="106" t="s">
        <v>59</v>
      </c>
      <c r="K23" s="106" t="s">
        <v>59</v>
      </c>
      <c r="L23" s="106">
        <v>1</v>
      </c>
      <c r="M23" s="106" t="s">
        <v>59</v>
      </c>
      <c r="N23" s="106" t="s">
        <v>59</v>
      </c>
      <c r="O23" s="106" t="s">
        <v>59</v>
      </c>
      <c r="P23" s="106" t="s">
        <v>59</v>
      </c>
      <c r="Q23" s="106" t="s">
        <v>59</v>
      </c>
      <c r="R23" s="109">
        <f>SUM(Tabla34[[#This Row],[2002]:[2016]])</f>
        <v>8</v>
      </c>
    </row>
    <row r="24" spans="2:18" ht="24" x14ac:dyDescent="0.25">
      <c r="B24" s="104" t="s">
        <v>17</v>
      </c>
      <c r="C24" s="111">
        <v>1</v>
      </c>
      <c r="D24" s="111" t="s">
        <v>59</v>
      </c>
      <c r="E24" s="111" t="s">
        <v>59</v>
      </c>
      <c r="F24" s="111" t="s">
        <v>59</v>
      </c>
      <c r="G24" s="111" t="s">
        <v>59</v>
      </c>
      <c r="H24" s="111" t="s">
        <v>59</v>
      </c>
      <c r="I24" s="111" t="s">
        <v>59</v>
      </c>
      <c r="J24" s="111">
        <v>2</v>
      </c>
      <c r="K24" s="111" t="s">
        <v>59</v>
      </c>
      <c r="L24" s="111" t="s">
        <v>59</v>
      </c>
      <c r="M24" s="111">
        <v>3</v>
      </c>
      <c r="N24" s="111" t="s">
        <v>59</v>
      </c>
      <c r="O24" s="111" t="s">
        <v>59</v>
      </c>
      <c r="P24" s="111" t="s">
        <v>59</v>
      </c>
      <c r="Q24" s="111" t="s">
        <v>59</v>
      </c>
      <c r="R24" s="109">
        <f>SUM(Tabla34[[#This Row],[2002]:[2016]])</f>
        <v>6</v>
      </c>
    </row>
    <row r="25" spans="2:18" ht="72" x14ac:dyDescent="0.25">
      <c r="B25" s="104" t="s">
        <v>25</v>
      </c>
      <c r="C25" s="106" t="s">
        <v>59</v>
      </c>
      <c r="D25" s="106" t="s">
        <v>59</v>
      </c>
      <c r="E25" s="106" t="s">
        <v>59</v>
      </c>
      <c r="F25" s="106" t="s">
        <v>59</v>
      </c>
      <c r="G25" s="106">
        <v>2</v>
      </c>
      <c r="H25" s="106" t="s">
        <v>59</v>
      </c>
      <c r="I25" s="106" t="s">
        <v>59</v>
      </c>
      <c r="J25" s="106" t="s">
        <v>59</v>
      </c>
      <c r="K25" s="106" t="s">
        <v>59</v>
      </c>
      <c r="L25" s="106">
        <v>2</v>
      </c>
      <c r="M25" s="106" t="s">
        <v>59</v>
      </c>
      <c r="N25" s="106" t="s">
        <v>59</v>
      </c>
      <c r="O25" s="106" t="s">
        <v>59</v>
      </c>
      <c r="P25" s="106" t="s">
        <v>59</v>
      </c>
      <c r="Q25" s="106" t="s">
        <v>59</v>
      </c>
      <c r="R25" s="109">
        <f>SUM(Tabla34[[#This Row],[2002]:[2016]])</f>
        <v>4</v>
      </c>
    </row>
    <row r="26" spans="2:18" x14ac:dyDescent="0.25">
      <c r="B26" s="104" t="s">
        <v>20</v>
      </c>
      <c r="C26" s="111" t="s">
        <v>59</v>
      </c>
      <c r="D26" s="111" t="s">
        <v>59</v>
      </c>
      <c r="E26" s="111" t="s">
        <v>59</v>
      </c>
      <c r="F26" s="111" t="s">
        <v>59</v>
      </c>
      <c r="G26" s="111" t="s">
        <v>59</v>
      </c>
      <c r="H26" s="111">
        <v>1</v>
      </c>
      <c r="I26" s="111" t="s">
        <v>59</v>
      </c>
      <c r="J26" s="111" t="s">
        <v>59</v>
      </c>
      <c r="K26" s="111" t="s">
        <v>59</v>
      </c>
      <c r="L26" s="111" t="s">
        <v>59</v>
      </c>
      <c r="M26" s="111">
        <v>2</v>
      </c>
      <c r="N26" s="111" t="s">
        <v>59</v>
      </c>
      <c r="O26" s="111">
        <v>1</v>
      </c>
      <c r="P26" s="111" t="s">
        <v>59</v>
      </c>
      <c r="Q26" s="111" t="s">
        <v>59</v>
      </c>
      <c r="R26" s="109">
        <f>SUM(Tabla34[[#This Row],[2002]:[2016]])</f>
        <v>4</v>
      </c>
    </row>
    <row r="27" spans="2:18" ht="36" x14ac:dyDescent="0.25">
      <c r="B27" s="104" t="s">
        <v>32</v>
      </c>
      <c r="C27" s="106" t="s">
        <v>59</v>
      </c>
      <c r="D27" s="106" t="s">
        <v>59</v>
      </c>
      <c r="E27" s="106" t="s">
        <v>59</v>
      </c>
      <c r="F27" s="106">
        <v>3</v>
      </c>
      <c r="G27" s="106" t="s">
        <v>59</v>
      </c>
      <c r="H27" s="106" t="s">
        <v>59</v>
      </c>
      <c r="I27" s="106" t="s">
        <v>59</v>
      </c>
      <c r="J27" s="106" t="s">
        <v>59</v>
      </c>
      <c r="K27" s="106" t="s">
        <v>59</v>
      </c>
      <c r="L27" s="106" t="s">
        <v>59</v>
      </c>
      <c r="M27" s="106">
        <v>1</v>
      </c>
      <c r="N27" s="106" t="s">
        <v>59</v>
      </c>
      <c r="O27" s="106" t="s">
        <v>59</v>
      </c>
      <c r="P27" s="106" t="s">
        <v>59</v>
      </c>
      <c r="Q27" s="106" t="s">
        <v>59</v>
      </c>
      <c r="R27" s="109">
        <f>SUM(Tabla34[[#This Row],[2002]:[2016]])</f>
        <v>4</v>
      </c>
    </row>
    <row r="28" spans="2:18" ht="24" x14ac:dyDescent="0.25">
      <c r="B28" s="104" t="s">
        <v>29</v>
      </c>
      <c r="C28" s="111" t="s">
        <v>59</v>
      </c>
      <c r="D28" s="111" t="s">
        <v>59</v>
      </c>
      <c r="E28" s="111" t="s">
        <v>59</v>
      </c>
      <c r="F28" s="111" t="s">
        <v>59</v>
      </c>
      <c r="G28" s="111" t="s">
        <v>59</v>
      </c>
      <c r="H28" s="111" t="s">
        <v>59</v>
      </c>
      <c r="I28" s="111" t="s">
        <v>59</v>
      </c>
      <c r="J28" s="111" t="s">
        <v>59</v>
      </c>
      <c r="K28" s="111" t="s">
        <v>59</v>
      </c>
      <c r="L28" s="111" t="s">
        <v>59</v>
      </c>
      <c r="M28" s="111" t="s">
        <v>59</v>
      </c>
      <c r="N28" s="111" t="s">
        <v>59</v>
      </c>
      <c r="O28" s="111" t="s">
        <v>59</v>
      </c>
      <c r="P28" s="111">
        <v>3</v>
      </c>
      <c r="Q28" s="111" t="s">
        <v>59</v>
      </c>
      <c r="R28" s="109">
        <f>SUM(Tabla34[[#This Row],[2002]:[2016]])</f>
        <v>3</v>
      </c>
    </row>
    <row r="29" spans="2:18" ht="24" x14ac:dyDescent="0.25">
      <c r="B29" s="104" t="s">
        <v>21</v>
      </c>
      <c r="C29" s="106" t="s">
        <v>59</v>
      </c>
      <c r="D29" s="106" t="s">
        <v>59</v>
      </c>
      <c r="E29" s="106" t="s">
        <v>59</v>
      </c>
      <c r="F29" s="106" t="s">
        <v>59</v>
      </c>
      <c r="G29" s="106" t="s">
        <v>59</v>
      </c>
      <c r="H29" s="106" t="s">
        <v>59</v>
      </c>
      <c r="I29" s="106" t="s">
        <v>59</v>
      </c>
      <c r="J29" s="106" t="s">
        <v>59</v>
      </c>
      <c r="K29" s="106" t="s">
        <v>59</v>
      </c>
      <c r="L29" s="106" t="s">
        <v>59</v>
      </c>
      <c r="M29" s="106">
        <v>3</v>
      </c>
      <c r="N29" s="106" t="s">
        <v>59</v>
      </c>
      <c r="O29" s="106" t="s">
        <v>59</v>
      </c>
      <c r="P29" s="106" t="s">
        <v>59</v>
      </c>
      <c r="Q29" s="106" t="s">
        <v>59</v>
      </c>
      <c r="R29" s="109">
        <f>SUM(Tabla34[[#This Row],[2002]:[2016]])</f>
        <v>3</v>
      </c>
    </row>
    <row r="30" spans="2:18" ht="24" x14ac:dyDescent="0.25">
      <c r="B30" s="104" t="s">
        <v>26</v>
      </c>
      <c r="C30" s="111" t="s">
        <v>59</v>
      </c>
      <c r="D30" s="111" t="s">
        <v>59</v>
      </c>
      <c r="E30" s="111" t="s">
        <v>59</v>
      </c>
      <c r="F30" s="111" t="s">
        <v>59</v>
      </c>
      <c r="G30" s="111" t="s">
        <v>59</v>
      </c>
      <c r="H30" s="111" t="s">
        <v>59</v>
      </c>
      <c r="I30" s="111" t="s">
        <v>59</v>
      </c>
      <c r="J30" s="111" t="s">
        <v>59</v>
      </c>
      <c r="K30" s="111" t="s">
        <v>59</v>
      </c>
      <c r="L30" s="111" t="s">
        <v>59</v>
      </c>
      <c r="M30" s="111" t="s">
        <v>59</v>
      </c>
      <c r="N30" s="111">
        <v>1</v>
      </c>
      <c r="O30" s="111">
        <v>1</v>
      </c>
      <c r="P30" s="111">
        <v>1</v>
      </c>
      <c r="Q30" s="111" t="s">
        <v>59</v>
      </c>
      <c r="R30" s="109">
        <f>SUM(Tabla34[[#This Row],[2002]:[2016]])</f>
        <v>3</v>
      </c>
    </row>
    <row r="31" spans="2:18" ht="36" x14ac:dyDescent="0.25">
      <c r="B31" s="104" t="s">
        <v>27</v>
      </c>
      <c r="C31" s="105" t="s">
        <v>59</v>
      </c>
      <c r="D31" s="106" t="s">
        <v>59</v>
      </c>
      <c r="E31" s="106" t="s">
        <v>59</v>
      </c>
      <c r="F31" s="106" t="s">
        <v>59</v>
      </c>
      <c r="G31" s="106" t="s">
        <v>59</v>
      </c>
      <c r="H31" s="106">
        <v>1</v>
      </c>
      <c r="I31" s="106" t="s">
        <v>59</v>
      </c>
      <c r="J31" s="106" t="s">
        <v>59</v>
      </c>
      <c r="K31" s="106">
        <v>1</v>
      </c>
      <c r="L31" s="106" t="s">
        <v>59</v>
      </c>
      <c r="M31" s="106" t="s">
        <v>59</v>
      </c>
      <c r="N31" s="106" t="s">
        <v>59</v>
      </c>
      <c r="O31" s="106" t="s">
        <v>59</v>
      </c>
      <c r="P31" s="106" t="s">
        <v>59</v>
      </c>
      <c r="Q31" s="107" t="s">
        <v>59</v>
      </c>
      <c r="R31" s="109">
        <f>SUM(Tabla34[[#This Row],[2002]:[2016]])</f>
        <v>2</v>
      </c>
    </row>
    <row r="32" spans="2:18" x14ac:dyDescent="0.25">
      <c r="B32" s="104" t="s">
        <v>34</v>
      </c>
      <c r="C32" s="208">
        <f>SUBTOTAL(109,C5:C31)</f>
        <v>14</v>
      </c>
      <c r="D32" s="208">
        <f>SUBTOTAL(109,D5:D31)</f>
        <v>34</v>
      </c>
      <c r="E32" s="208">
        <f>SUBTOTAL(109,E5:E31)</f>
        <v>70</v>
      </c>
      <c r="F32" s="208">
        <f>SUBTOTAL(109,F5:F31)</f>
        <v>62</v>
      </c>
      <c r="G32" s="208">
        <f>SUBTOTAL(109,G5:G31)</f>
        <v>85</v>
      </c>
      <c r="H32" s="208">
        <f>SUBTOTAL(109,H5:H31)</f>
        <v>286</v>
      </c>
      <c r="I32" s="208">
        <f>SUBTOTAL(109,I5:I31)</f>
        <v>226</v>
      </c>
      <c r="J32" s="208">
        <f>SUBTOTAL(109,J5:J31)</f>
        <v>226</v>
      </c>
      <c r="K32" s="208">
        <f>SUBTOTAL(109,K5:K31)</f>
        <v>414</v>
      </c>
      <c r="L32" s="208">
        <f>SUBTOTAL(109,L5:L31)</f>
        <v>381</v>
      </c>
      <c r="M32" s="208">
        <f>SUBTOTAL(109,M5:M31)</f>
        <v>476</v>
      </c>
      <c r="N32" s="208">
        <f>SUBTOTAL(109,N5:N31)</f>
        <v>633</v>
      </c>
      <c r="O32" s="208">
        <f>SUBTOTAL(109,O5:O31)</f>
        <v>799</v>
      </c>
      <c r="P32" s="208">
        <f>SUBTOTAL(109,P5:P31)</f>
        <v>1077</v>
      </c>
      <c r="Q32" s="208">
        <f>SUBTOTAL(109,Q5:Q31)</f>
        <v>1</v>
      </c>
      <c r="R32" s="109">
        <f>SUBTOTAL(109,R5:R31)</f>
        <v>4784</v>
      </c>
    </row>
  </sheetData>
  <mergeCells count="3">
    <mergeCell ref="B3:B4"/>
    <mergeCell ref="C3:Q3"/>
    <mergeCell ref="R3:R4"/>
  </mergeCell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EE36-BB68-4626-A9AD-FBD54C034757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A6E3B-BF72-49A8-8D7C-5311DD852193}">
  <dimension ref="B14:W41"/>
  <sheetViews>
    <sheetView tabSelected="1" topLeftCell="A13" workbookViewId="0">
      <selection activeCell="B15" sqref="B15:W41"/>
    </sheetView>
  </sheetViews>
  <sheetFormatPr baseColWidth="10" defaultRowHeight="15" x14ac:dyDescent="0.25"/>
  <sheetData>
    <row r="14" spans="2:23" ht="15.75" thickBot="1" x14ac:dyDescent="0.3"/>
    <row r="15" spans="2:23" x14ac:dyDescent="0.25">
      <c r="B15" s="209" t="s">
        <v>86</v>
      </c>
      <c r="C15" s="210" t="s">
        <v>60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2"/>
      <c r="U15" s="213"/>
      <c r="V15" s="213"/>
      <c r="W15" s="214" t="s">
        <v>87</v>
      </c>
    </row>
    <row r="16" spans="2:23" ht="15.75" thickBot="1" x14ac:dyDescent="0.3">
      <c r="B16" s="215"/>
      <c r="C16" s="216">
        <v>2003</v>
      </c>
      <c r="D16" s="217">
        <v>2004</v>
      </c>
      <c r="E16" s="217">
        <v>2005</v>
      </c>
      <c r="F16" s="217">
        <v>2006</v>
      </c>
      <c r="G16" s="217">
        <v>2007</v>
      </c>
      <c r="H16" s="217">
        <v>2008</v>
      </c>
      <c r="I16" s="217">
        <v>2009</v>
      </c>
      <c r="J16" s="217">
        <v>2010</v>
      </c>
      <c r="K16" s="217">
        <v>2011</v>
      </c>
      <c r="L16" s="217">
        <v>2012</v>
      </c>
      <c r="M16" s="217">
        <v>2013</v>
      </c>
      <c r="N16" s="217">
        <v>2014</v>
      </c>
      <c r="O16" s="217">
        <v>2015</v>
      </c>
      <c r="P16" s="217">
        <v>2016</v>
      </c>
      <c r="Q16" s="217">
        <v>2017</v>
      </c>
      <c r="R16" s="217">
        <v>2018</v>
      </c>
      <c r="S16" s="217">
        <v>2019</v>
      </c>
      <c r="T16" s="217">
        <v>2020</v>
      </c>
      <c r="U16" s="217">
        <v>2021</v>
      </c>
      <c r="V16" s="217">
        <v>2022</v>
      </c>
      <c r="W16" s="218"/>
    </row>
    <row r="17" spans="2:23" ht="36.75" thickBot="1" x14ac:dyDescent="0.3">
      <c r="B17" s="219" t="s">
        <v>4</v>
      </c>
      <c r="C17" s="220" t="s">
        <v>59</v>
      </c>
      <c r="D17" s="220" t="s">
        <v>59</v>
      </c>
      <c r="E17" s="220" t="s">
        <v>59</v>
      </c>
      <c r="F17" s="220">
        <v>2</v>
      </c>
      <c r="G17" s="220">
        <v>1</v>
      </c>
      <c r="H17" s="220">
        <v>4</v>
      </c>
      <c r="I17" s="220">
        <v>52</v>
      </c>
      <c r="J17" s="220">
        <v>47</v>
      </c>
      <c r="K17" s="220">
        <v>27</v>
      </c>
      <c r="L17" s="220">
        <v>116</v>
      </c>
      <c r="M17" s="220">
        <v>78</v>
      </c>
      <c r="N17" s="220">
        <v>68</v>
      </c>
      <c r="O17" s="220">
        <v>12</v>
      </c>
      <c r="P17" s="220">
        <v>19</v>
      </c>
      <c r="Q17" s="220">
        <v>7</v>
      </c>
      <c r="R17" s="220">
        <v>4</v>
      </c>
      <c r="S17" s="220">
        <v>1</v>
      </c>
      <c r="T17" s="220">
        <v>4</v>
      </c>
      <c r="U17" s="220" t="s">
        <v>59</v>
      </c>
      <c r="V17" s="220" t="s">
        <v>59</v>
      </c>
      <c r="W17" s="221">
        <f>SUM(C17:V17)</f>
        <v>442</v>
      </c>
    </row>
    <row r="18" spans="2:23" ht="36.75" thickBot="1" x14ac:dyDescent="0.3">
      <c r="B18" s="219" t="s">
        <v>13</v>
      </c>
      <c r="C18" s="220" t="s">
        <v>59</v>
      </c>
      <c r="D18" s="220" t="s">
        <v>59</v>
      </c>
      <c r="E18" s="220" t="s">
        <v>59</v>
      </c>
      <c r="F18" s="220" t="s">
        <v>59</v>
      </c>
      <c r="G18" s="220" t="s">
        <v>59</v>
      </c>
      <c r="H18" s="220">
        <v>4</v>
      </c>
      <c r="I18" s="220">
        <v>9</v>
      </c>
      <c r="J18" s="220">
        <v>56</v>
      </c>
      <c r="K18" s="220">
        <v>69</v>
      </c>
      <c r="L18" s="220">
        <v>52</v>
      </c>
      <c r="M18" s="220">
        <v>5</v>
      </c>
      <c r="N18" s="220">
        <v>13</v>
      </c>
      <c r="O18" s="220">
        <v>16</v>
      </c>
      <c r="P18" s="220">
        <v>11</v>
      </c>
      <c r="Q18" s="220">
        <v>56</v>
      </c>
      <c r="R18" s="220">
        <v>9</v>
      </c>
      <c r="S18" s="220">
        <v>6</v>
      </c>
      <c r="T18" s="220">
        <v>10</v>
      </c>
      <c r="U18" s="220">
        <v>1</v>
      </c>
      <c r="V18" s="220">
        <v>3</v>
      </c>
      <c r="W18" s="221">
        <f t="shared" ref="W18:W36" si="0">SUM(C18:V18)</f>
        <v>320</v>
      </c>
    </row>
    <row r="19" spans="2:23" ht="36.75" thickBot="1" x14ac:dyDescent="0.3">
      <c r="B19" s="219" t="s">
        <v>23</v>
      </c>
      <c r="C19" s="220" t="s">
        <v>59</v>
      </c>
      <c r="D19" s="220" t="s">
        <v>59</v>
      </c>
      <c r="E19" s="220" t="s">
        <v>59</v>
      </c>
      <c r="F19" s="220" t="s">
        <v>59</v>
      </c>
      <c r="G19" s="220" t="s">
        <v>59</v>
      </c>
      <c r="H19" s="220" t="s">
        <v>59</v>
      </c>
      <c r="I19" s="220">
        <v>6</v>
      </c>
      <c r="J19" s="220">
        <v>15</v>
      </c>
      <c r="K19" s="220">
        <v>28</v>
      </c>
      <c r="L19" s="220">
        <v>25</v>
      </c>
      <c r="M19" s="220" t="s">
        <v>59</v>
      </c>
      <c r="N19" s="220" t="s">
        <v>59</v>
      </c>
      <c r="O19" s="220">
        <v>4</v>
      </c>
      <c r="P19" s="220">
        <v>7</v>
      </c>
      <c r="Q19" s="220">
        <v>8</v>
      </c>
      <c r="R19" s="220">
        <v>4</v>
      </c>
      <c r="S19" s="220" t="s">
        <v>59</v>
      </c>
      <c r="T19" s="220" t="s">
        <v>59</v>
      </c>
      <c r="U19" s="220" t="s">
        <v>59</v>
      </c>
      <c r="V19" s="220" t="s">
        <v>59</v>
      </c>
      <c r="W19" s="221">
        <f t="shared" si="0"/>
        <v>97</v>
      </c>
    </row>
    <row r="20" spans="2:23" ht="15.75" thickBot="1" x14ac:dyDescent="0.3">
      <c r="B20" s="219" t="s">
        <v>15</v>
      </c>
      <c r="C20" s="220" t="s">
        <v>59</v>
      </c>
      <c r="D20" s="220" t="s">
        <v>59</v>
      </c>
      <c r="E20" s="220" t="s">
        <v>59</v>
      </c>
      <c r="F20" s="220" t="s">
        <v>59</v>
      </c>
      <c r="G20" s="220" t="s">
        <v>59</v>
      </c>
      <c r="H20" s="220">
        <v>2</v>
      </c>
      <c r="I20" s="220" t="s">
        <v>59</v>
      </c>
      <c r="J20" s="220" t="s">
        <v>59</v>
      </c>
      <c r="K20" s="220">
        <v>2</v>
      </c>
      <c r="L20" s="220">
        <v>12</v>
      </c>
      <c r="M20" s="220">
        <v>16</v>
      </c>
      <c r="N20" s="220">
        <v>4</v>
      </c>
      <c r="O20" s="220">
        <v>22</v>
      </c>
      <c r="P20" s="220" t="s">
        <v>59</v>
      </c>
      <c r="Q20" s="220">
        <v>2</v>
      </c>
      <c r="R20" s="220">
        <v>1</v>
      </c>
      <c r="S20" s="220" t="s">
        <v>59</v>
      </c>
      <c r="T20" s="220" t="s">
        <v>59</v>
      </c>
      <c r="U20" s="220" t="s">
        <v>59</v>
      </c>
      <c r="V20" s="220" t="s">
        <v>59</v>
      </c>
      <c r="W20" s="221">
        <f t="shared" si="0"/>
        <v>61</v>
      </c>
    </row>
    <row r="21" spans="2:23" ht="27.75" thickBot="1" x14ac:dyDescent="0.3">
      <c r="B21" s="219" t="s">
        <v>5</v>
      </c>
      <c r="C21" s="220" t="s">
        <v>59</v>
      </c>
      <c r="D21" s="220" t="s">
        <v>59</v>
      </c>
      <c r="E21" s="220">
        <v>1</v>
      </c>
      <c r="F21" s="220" t="s">
        <v>59</v>
      </c>
      <c r="G21" s="220" t="s">
        <v>59</v>
      </c>
      <c r="H21" s="220">
        <v>1</v>
      </c>
      <c r="I21" s="220">
        <v>3</v>
      </c>
      <c r="J21" s="220">
        <v>9</v>
      </c>
      <c r="K21" s="220">
        <v>7</v>
      </c>
      <c r="L21" s="220">
        <v>6</v>
      </c>
      <c r="M21" s="220" t="s">
        <v>59</v>
      </c>
      <c r="N21" s="220">
        <v>1</v>
      </c>
      <c r="O21" s="220">
        <v>1</v>
      </c>
      <c r="P21" s="220" t="s">
        <v>59</v>
      </c>
      <c r="Q21" s="220">
        <v>1</v>
      </c>
      <c r="R21" s="220" t="s">
        <v>59</v>
      </c>
      <c r="S21" s="220" t="s">
        <v>59</v>
      </c>
      <c r="T21" s="220" t="s">
        <v>59</v>
      </c>
      <c r="U21" s="220" t="s">
        <v>59</v>
      </c>
      <c r="V21" s="220" t="s">
        <v>59</v>
      </c>
      <c r="W21" s="221">
        <f t="shared" si="0"/>
        <v>30</v>
      </c>
    </row>
    <row r="22" spans="2:23" ht="45.75" thickBot="1" x14ac:dyDescent="0.3">
      <c r="B22" s="219" t="s">
        <v>7</v>
      </c>
      <c r="C22" s="220" t="s">
        <v>59</v>
      </c>
      <c r="D22" s="220" t="s">
        <v>59</v>
      </c>
      <c r="E22" s="220" t="s">
        <v>59</v>
      </c>
      <c r="F22" s="220" t="s">
        <v>59</v>
      </c>
      <c r="G22" s="220" t="s">
        <v>59</v>
      </c>
      <c r="H22" s="220" t="s">
        <v>59</v>
      </c>
      <c r="I22" s="220" t="s">
        <v>59</v>
      </c>
      <c r="J22" s="220" t="s">
        <v>59</v>
      </c>
      <c r="K22" s="220" t="s">
        <v>59</v>
      </c>
      <c r="L22" s="220">
        <v>2</v>
      </c>
      <c r="M22" s="220">
        <v>2</v>
      </c>
      <c r="N22" s="220">
        <v>4</v>
      </c>
      <c r="O22" s="220">
        <v>3</v>
      </c>
      <c r="P22" s="220">
        <v>4</v>
      </c>
      <c r="Q22" s="220">
        <v>1</v>
      </c>
      <c r="R22" s="220">
        <v>6</v>
      </c>
      <c r="S22" s="220" t="s">
        <v>59</v>
      </c>
      <c r="T22" s="220" t="s">
        <v>59</v>
      </c>
      <c r="U22" s="220" t="s">
        <v>59</v>
      </c>
      <c r="V22" s="220" t="s">
        <v>59</v>
      </c>
      <c r="W22" s="221">
        <f t="shared" si="0"/>
        <v>22</v>
      </c>
    </row>
    <row r="23" spans="2:23" ht="18.75" thickBot="1" x14ac:dyDescent="0.3">
      <c r="B23" s="219" t="s">
        <v>10</v>
      </c>
      <c r="C23" s="220" t="s">
        <v>59</v>
      </c>
      <c r="D23" s="220" t="s">
        <v>59</v>
      </c>
      <c r="E23" s="220" t="s">
        <v>59</v>
      </c>
      <c r="F23" s="220" t="s">
        <v>59</v>
      </c>
      <c r="G23" s="220" t="s">
        <v>59</v>
      </c>
      <c r="H23" s="220" t="s">
        <v>59</v>
      </c>
      <c r="I23" s="220">
        <v>6</v>
      </c>
      <c r="J23" s="220">
        <v>1</v>
      </c>
      <c r="K23" s="220">
        <v>2</v>
      </c>
      <c r="L23" s="220">
        <v>5</v>
      </c>
      <c r="M23" s="220" t="s">
        <v>59</v>
      </c>
      <c r="N23" s="220" t="s">
        <v>59</v>
      </c>
      <c r="O23" s="220" t="s">
        <v>59</v>
      </c>
      <c r="P23" s="220" t="s">
        <v>59</v>
      </c>
      <c r="Q23" s="220">
        <v>5</v>
      </c>
      <c r="R23" s="220" t="s">
        <v>59</v>
      </c>
      <c r="S23" s="220">
        <v>1</v>
      </c>
      <c r="T23" s="220">
        <v>3</v>
      </c>
      <c r="U23" s="220">
        <v>1</v>
      </c>
      <c r="V23" s="220" t="s">
        <v>59</v>
      </c>
      <c r="W23" s="221">
        <f t="shared" si="0"/>
        <v>24</v>
      </c>
    </row>
    <row r="24" spans="2:23" ht="15.75" thickBot="1" x14ac:dyDescent="0.3">
      <c r="B24" s="219" t="s">
        <v>24</v>
      </c>
      <c r="C24" s="220" t="s">
        <v>59</v>
      </c>
      <c r="D24" s="220" t="s">
        <v>59</v>
      </c>
      <c r="E24" s="220" t="s">
        <v>59</v>
      </c>
      <c r="F24" s="220" t="s">
        <v>59</v>
      </c>
      <c r="G24" s="220" t="s">
        <v>59</v>
      </c>
      <c r="H24" s="220" t="s">
        <v>59</v>
      </c>
      <c r="I24" s="220" t="s">
        <v>59</v>
      </c>
      <c r="J24" s="220" t="s">
        <v>59</v>
      </c>
      <c r="K24" s="220" t="s">
        <v>59</v>
      </c>
      <c r="L24" s="220" t="s">
        <v>59</v>
      </c>
      <c r="M24" s="220" t="s">
        <v>59</v>
      </c>
      <c r="N24" s="220" t="s">
        <v>59</v>
      </c>
      <c r="O24" s="220" t="s">
        <v>59</v>
      </c>
      <c r="P24" s="220" t="s">
        <v>59</v>
      </c>
      <c r="Q24" s="220">
        <v>5</v>
      </c>
      <c r="R24" s="220">
        <v>13</v>
      </c>
      <c r="S24" s="220" t="s">
        <v>59</v>
      </c>
      <c r="T24" s="220" t="s">
        <v>59</v>
      </c>
      <c r="U24" s="220" t="s">
        <v>59</v>
      </c>
      <c r="V24" s="220" t="s">
        <v>59</v>
      </c>
      <c r="W24" s="221">
        <f t="shared" si="0"/>
        <v>18</v>
      </c>
    </row>
    <row r="25" spans="2:23" ht="45.75" thickBot="1" x14ac:dyDescent="0.3">
      <c r="B25" s="219" t="s">
        <v>9</v>
      </c>
      <c r="C25" s="220" t="s">
        <v>59</v>
      </c>
      <c r="D25" s="220">
        <v>1</v>
      </c>
      <c r="E25" s="220" t="s">
        <v>59</v>
      </c>
      <c r="F25" s="220" t="s">
        <v>59</v>
      </c>
      <c r="G25" s="220">
        <v>1</v>
      </c>
      <c r="H25" s="220" t="s">
        <v>59</v>
      </c>
      <c r="I25" s="220" t="s">
        <v>59</v>
      </c>
      <c r="J25" s="220">
        <v>2</v>
      </c>
      <c r="K25" s="220">
        <v>8</v>
      </c>
      <c r="L25" s="220" t="s">
        <v>59</v>
      </c>
      <c r="M25" s="220" t="s">
        <v>59</v>
      </c>
      <c r="N25" s="220" t="s">
        <v>59</v>
      </c>
      <c r="O25" s="220" t="s">
        <v>59</v>
      </c>
      <c r="P25" s="220">
        <v>1</v>
      </c>
      <c r="Q25" s="220">
        <v>3</v>
      </c>
      <c r="R25" s="220">
        <v>1</v>
      </c>
      <c r="S25" s="220" t="s">
        <v>59</v>
      </c>
      <c r="T25" s="220" t="s">
        <v>59</v>
      </c>
      <c r="U25" s="220" t="s">
        <v>59</v>
      </c>
      <c r="V25" s="220" t="s">
        <v>59</v>
      </c>
      <c r="W25" s="221">
        <f t="shared" si="0"/>
        <v>17</v>
      </c>
    </row>
    <row r="26" spans="2:23" ht="15.75" thickBot="1" x14ac:dyDescent="0.3">
      <c r="B26" s="219" t="s">
        <v>16</v>
      </c>
      <c r="C26" s="220" t="s">
        <v>59</v>
      </c>
      <c r="D26" s="220" t="s">
        <v>59</v>
      </c>
      <c r="E26" s="220">
        <v>2</v>
      </c>
      <c r="F26" s="220" t="s">
        <v>59</v>
      </c>
      <c r="G26" s="220" t="s">
        <v>59</v>
      </c>
      <c r="H26" s="220" t="s">
        <v>59</v>
      </c>
      <c r="I26" s="220">
        <v>3</v>
      </c>
      <c r="J26" s="220">
        <v>9</v>
      </c>
      <c r="K26" s="220">
        <v>2</v>
      </c>
      <c r="L26" s="220" t="s">
        <v>59</v>
      </c>
      <c r="M26" s="220" t="s">
        <v>59</v>
      </c>
      <c r="N26" s="220" t="s">
        <v>59</v>
      </c>
      <c r="O26" s="220" t="s">
        <v>59</v>
      </c>
      <c r="P26" s="220" t="s">
        <v>59</v>
      </c>
      <c r="Q26" s="220" t="s">
        <v>59</v>
      </c>
      <c r="R26" s="220" t="s">
        <v>59</v>
      </c>
      <c r="S26" s="220" t="s">
        <v>59</v>
      </c>
      <c r="T26" s="220" t="s">
        <v>59</v>
      </c>
      <c r="U26" s="220" t="s">
        <v>59</v>
      </c>
      <c r="V26" s="220" t="s">
        <v>59</v>
      </c>
      <c r="W26" s="221">
        <f t="shared" si="0"/>
        <v>16</v>
      </c>
    </row>
    <row r="27" spans="2:23" ht="36.75" thickBot="1" x14ac:dyDescent="0.3">
      <c r="B27" s="219" t="s">
        <v>12</v>
      </c>
      <c r="C27" s="220" t="s">
        <v>59</v>
      </c>
      <c r="D27" s="220" t="s">
        <v>59</v>
      </c>
      <c r="E27" s="220" t="s">
        <v>59</v>
      </c>
      <c r="F27" s="220" t="s">
        <v>59</v>
      </c>
      <c r="G27" s="220" t="s">
        <v>59</v>
      </c>
      <c r="H27" s="220" t="s">
        <v>59</v>
      </c>
      <c r="I27" s="220">
        <v>9</v>
      </c>
      <c r="J27" s="220" t="s">
        <v>59</v>
      </c>
      <c r="K27" s="220" t="s">
        <v>59</v>
      </c>
      <c r="L27" s="220">
        <v>2</v>
      </c>
      <c r="M27" s="220" t="s">
        <v>59</v>
      </c>
      <c r="N27" s="220" t="s">
        <v>59</v>
      </c>
      <c r="O27" s="220" t="s">
        <v>59</v>
      </c>
      <c r="P27" s="220">
        <v>1</v>
      </c>
      <c r="Q27" s="220" t="s">
        <v>59</v>
      </c>
      <c r="R27" s="220" t="s">
        <v>59</v>
      </c>
      <c r="S27" s="220" t="s">
        <v>59</v>
      </c>
      <c r="T27" s="220" t="s">
        <v>59</v>
      </c>
      <c r="U27" s="220" t="s">
        <v>59</v>
      </c>
      <c r="V27" s="220" t="s">
        <v>59</v>
      </c>
      <c r="W27" s="221">
        <f t="shared" si="0"/>
        <v>12</v>
      </c>
    </row>
    <row r="28" spans="2:23" ht="18.75" thickBot="1" x14ac:dyDescent="0.3">
      <c r="B28" s="219" t="s">
        <v>22</v>
      </c>
      <c r="C28" s="220" t="s">
        <v>59</v>
      </c>
      <c r="D28" s="220">
        <v>2</v>
      </c>
      <c r="E28" s="220" t="s">
        <v>59</v>
      </c>
      <c r="F28" s="220" t="s">
        <v>59</v>
      </c>
      <c r="G28" s="220" t="s">
        <v>59</v>
      </c>
      <c r="H28" s="220" t="s">
        <v>59</v>
      </c>
      <c r="I28" s="220" t="s">
        <v>59</v>
      </c>
      <c r="J28" s="220" t="s">
        <v>59</v>
      </c>
      <c r="K28" s="220" t="s">
        <v>59</v>
      </c>
      <c r="L28" s="220">
        <v>1</v>
      </c>
      <c r="M28" s="220" t="s">
        <v>59</v>
      </c>
      <c r="N28" s="220">
        <v>1</v>
      </c>
      <c r="O28" s="220">
        <v>1</v>
      </c>
      <c r="P28" s="220">
        <v>1</v>
      </c>
      <c r="Q28" s="220" t="s">
        <v>59</v>
      </c>
      <c r="R28" s="220">
        <v>3</v>
      </c>
      <c r="S28" s="220" t="s">
        <v>59</v>
      </c>
      <c r="T28" s="220" t="s">
        <v>59</v>
      </c>
      <c r="U28" s="220" t="s">
        <v>59</v>
      </c>
      <c r="V28" s="220">
        <v>1</v>
      </c>
      <c r="W28" s="221">
        <f t="shared" si="0"/>
        <v>10</v>
      </c>
    </row>
    <row r="29" spans="2:23" ht="36.75" thickBot="1" x14ac:dyDescent="0.3">
      <c r="B29" s="219" t="s">
        <v>6</v>
      </c>
      <c r="C29" s="220" t="s">
        <v>59</v>
      </c>
      <c r="D29" s="220" t="s">
        <v>59</v>
      </c>
      <c r="E29" s="220" t="s">
        <v>59</v>
      </c>
      <c r="F29" s="220" t="s">
        <v>59</v>
      </c>
      <c r="G29" s="220" t="s">
        <v>59</v>
      </c>
      <c r="H29" s="220" t="s">
        <v>59</v>
      </c>
      <c r="I29" s="220" t="s">
        <v>59</v>
      </c>
      <c r="J29" s="220" t="s">
        <v>59</v>
      </c>
      <c r="K29" s="220" t="s">
        <v>59</v>
      </c>
      <c r="L29" s="220" t="s">
        <v>59</v>
      </c>
      <c r="M29" s="220" t="s">
        <v>59</v>
      </c>
      <c r="N29" s="220" t="s">
        <v>59</v>
      </c>
      <c r="O29" s="220">
        <v>2</v>
      </c>
      <c r="P29" s="220">
        <v>4</v>
      </c>
      <c r="Q29" s="220" t="s">
        <v>59</v>
      </c>
      <c r="R29" s="220">
        <v>1</v>
      </c>
      <c r="S29" s="220" t="s">
        <v>59</v>
      </c>
      <c r="T29" s="220" t="s">
        <v>59</v>
      </c>
      <c r="U29" s="220" t="s">
        <v>59</v>
      </c>
      <c r="V29" s="220" t="s">
        <v>59</v>
      </c>
      <c r="W29" s="221">
        <f t="shared" si="0"/>
        <v>7</v>
      </c>
    </row>
    <row r="30" spans="2:23" ht="54.75" thickBot="1" x14ac:dyDescent="0.3">
      <c r="B30" s="219" t="s">
        <v>8</v>
      </c>
      <c r="C30" s="220" t="s">
        <v>59</v>
      </c>
      <c r="D30" s="220" t="s">
        <v>59</v>
      </c>
      <c r="E30" s="220" t="s">
        <v>59</v>
      </c>
      <c r="F30" s="220">
        <v>2</v>
      </c>
      <c r="G30" s="220" t="s">
        <v>59</v>
      </c>
      <c r="H30" s="220" t="s">
        <v>59</v>
      </c>
      <c r="I30" s="220" t="s">
        <v>59</v>
      </c>
      <c r="J30" s="220">
        <v>1</v>
      </c>
      <c r="K30" s="220" t="s">
        <v>59</v>
      </c>
      <c r="L30" s="220" t="s">
        <v>59</v>
      </c>
      <c r="M30" s="220" t="s">
        <v>59</v>
      </c>
      <c r="N30" s="220">
        <v>1</v>
      </c>
      <c r="O30" s="220" t="s">
        <v>59</v>
      </c>
      <c r="P30" s="220" t="s">
        <v>59</v>
      </c>
      <c r="Q30" s="220">
        <v>1</v>
      </c>
      <c r="R30" s="220">
        <v>1</v>
      </c>
      <c r="S30" s="220" t="s">
        <v>59</v>
      </c>
      <c r="T30" s="220" t="s">
        <v>59</v>
      </c>
      <c r="U30" s="220" t="s">
        <v>59</v>
      </c>
      <c r="V30" s="220" t="s">
        <v>59</v>
      </c>
      <c r="W30" s="221">
        <f t="shared" si="0"/>
        <v>6</v>
      </c>
    </row>
    <row r="31" spans="2:23" ht="15.75" thickBot="1" x14ac:dyDescent="0.3">
      <c r="B31" s="219" t="s">
        <v>18</v>
      </c>
      <c r="C31" s="220" t="s">
        <v>59</v>
      </c>
      <c r="D31" s="220" t="s">
        <v>59</v>
      </c>
      <c r="E31" s="220" t="s">
        <v>59</v>
      </c>
      <c r="F31" s="220" t="s">
        <v>59</v>
      </c>
      <c r="G31" s="220" t="s">
        <v>59</v>
      </c>
      <c r="H31" s="220" t="s">
        <v>59</v>
      </c>
      <c r="I31" s="220" t="s">
        <v>59</v>
      </c>
      <c r="J31" s="220" t="s">
        <v>59</v>
      </c>
      <c r="K31" s="220" t="s">
        <v>59</v>
      </c>
      <c r="L31" s="220" t="s">
        <v>59</v>
      </c>
      <c r="M31" s="220">
        <v>1</v>
      </c>
      <c r="N31" s="220">
        <v>2</v>
      </c>
      <c r="O31" s="220" t="s">
        <v>59</v>
      </c>
      <c r="P31" s="220" t="s">
        <v>59</v>
      </c>
      <c r="Q31" s="220">
        <v>1</v>
      </c>
      <c r="R31" s="220" t="s">
        <v>59</v>
      </c>
      <c r="S31" s="220">
        <v>1</v>
      </c>
      <c r="T31" s="220" t="s">
        <v>59</v>
      </c>
      <c r="U31" s="220" t="s">
        <v>59</v>
      </c>
      <c r="V31" s="220" t="s">
        <v>59</v>
      </c>
      <c r="W31" s="221">
        <f t="shared" si="0"/>
        <v>5</v>
      </c>
    </row>
    <row r="32" spans="2:23" ht="15.75" thickBot="1" x14ac:dyDescent="0.3">
      <c r="B32" s="219" t="s">
        <v>11</v>
      </c>
      <c r="C32" s="220">
        <v>1</v>
      </c>
      <c r="D32" s="220">
        <v>1</v>
      </c>
      <c r="E32" s="220" t="s">
        <v>59</v>
      </c>
      <c r="F32" s="220" t="s">
        <v>59</v>
      </c>
      <c r="G32" s="220" t="s">
        <v>59</v>
      </c>
      <c r="H32" s="220" t="s">
        <v>59</v>
      </c>
      <c r="I32" s="220" t="s">
        <v>59</v>
      </c>
      <c r="J32" s="220" t="s">
        <v>59</v>
      </c>
      <c r="K32" s="220" t="s">
        <v>59</v>
      </c>
      <c r="L32" s="220" t="s">
        <v>59</v>
      </c>
      <c r="M32" s="220" t="s">
        <v>59</v>
      </c>
      <c r="N32" s="220" t="s">
        <v>59</v>
      </c>
      <c r="O32" s="220" t="s">
        <v>59</v>
      </c>
      <c r="P32" s="220" t="s">
        <v>59</v>
      </c>
      <c r="Q32" s="220" t="s">
        <v>59</v>
      </c>
      <c r="R32" s="220" t="s">
        <v>59</v>
      </c>
      <c r="S32" s="220" t="s">
        <v>59</v>
      </c>
      <c r="T32" s="220" t="s">
        <v>59</v>
      </c>
      <c r="U32" s="220" t="s">
        <v>59</v>
      </c>
      <c r="V32" s="220" t="s">
        <v>59</v>
      </c>
      <c r="W32" s="221">
        <f t="shared" si="0"/>
        <v>2</v>
      </c>
    </row>
    <row r="33" spans="2:23" ht="18.75" thickBot="1" x14ac:dyDescent="0.3">
      <c r="B33" s="219" t="s">
        <v>29</v>
      </c>
      <c r="C33" s="220" t="s">
        <v>59</v>
      </c>
      <c r="D33" s="220" t="s">
        <v>59</v>
      </c>
      <c r="E33" s="220" t="s">
        <v>59</v>
      </c>
      <c r="F33" s="220" t="s">
        <v>59</v>
      </c>
      <c r="G33" s="220" t="s">
        <v>59</v>
      </c>
      <c r="H33" s="220" t="s">
        <v>59</v>
      </c>
      <c r="I33" s="220" t="s">
        <v>59</v>
      </c>
      <c r="J33" s="220" t="s">
        <v>59</v>
      </c>
      <c r="K33" s="220">
        <v>2</v>
      </c>
      <c r="L33" s="220" t="s">
        <v>59</v>
      </c>
      <c r="M33" s="220" t="s">
        <v>59</v>
      </c>
      <c r="N33" s="220" t="s">
        <v>59</v>
      </c>
      <c r="O33" s="220" t="s">
        <v>59</v>
      </c>
      <c r="P33" s="220" t="s">
        <v>59</v>
      </c>
      <c r="Q33" s="220" t="s">
        <v>59</v>
      </c>
      <c r="R33" s="220" t="s">
        <v>59</v>
      </c>
      <c r="S33" s="220" t="s">
        <v>59</v>
      </c>
      <c r="T33" s="220" t="s">
        <v>59</v>
      </c>
      <c r="U33" s="220" t="s">
        <v>59</v>
      </c>
      <c r="V33" s="220" t="s">
        <v>59</v>
      </c>
      <c r="W33" s="221">
        <f t="shared" si="0"/>
        <v>2</v>
      </c>
    </row>
    <row r="34" spans="2:23" ht="18.75" thickBot="1" x14ac:dyDescent="0.3">
      <c r="B34" s="219" t="s">
        <v>21</v>
      </c>
      <c r="C34" s="220" t="s">
        <v>59</v>
      </c>
      <c r="D34" s="220" t="s">
        <v>59</v>
      </c>
      <c r="E34" s="220" t="s">
        <v>59</v>
      </c>
      <c r="F34" s="220" t="s">
        <v>59</v>
      </c>
      <c r="G34" s="220" t="s">
        <v>59</v>
      </c>
      <c r="H34" s="220" t="s">
        <v>59</v>
      </c>
      <c r="I34" s="220" t="s">
        <v>59</v>
      </c>
      <c r="J34" s="220" t="s">
        <v>59</v>
      </c>
      <c r="K34" s="220" t="s">
        <v>59</v>
      </c>
      <c r="L34" s="220" t="s">
        <v>59</v>
      </c>
      <c r="M34" s="220" t="s">
        <v>59</v>
      </c>
      <c r="N34" s="220" t="s">
        <v>59</v>
      </c>
      <c r="O34" s="220">
        <v>1</v>
      </c>
      <c r="P34" s="220" t="s">
        <v>59</v>
      </c>
      <c r="Q34" s="220" t="s">
        <v>59</v>
      </c>
      <c r="R34" s="220" t="s">
        <v>59</v>
      </c>
      <c r="S34" s="220" t="s">
        <v>59</v>
      </c>
      <c r="T34" s="220" t="s">
        <v>59</v>
      </c>
      <c r="U34" s="220" t="s">
        <v>59</v>
      </c>
      <c r="V34" s="220" t="s">
        <v>59</v>
      </c>
      <c r="W34" s="221">
        <f t="shared" si="0"/>
        <v>1</v>
      </c>
    </row>
    <row r="35" spans="2:23" ht="18.75" thickBot="1" x14ac:dyDescent="0.3">
      <c r="B35" s="219" t="s">
        <v>26</v>
      </c>
      <c r="C35" s="220" t="s">
        <v>59</v>
      </c>
      <c r="D35" s="220" t="s">
        <v>59</v>
      </c>
      <c r="E35" s="220" t="s">
        <v>59</v>
      </c>
      <c r="F35" s="220" t="s">
        <v>59</v>
      </c>
      <c r="G35" s="220" t="s">
        <v>59</v>
      </c>
      <c r="H35" s="220" t="s">
        <v>59</v>
      </c>
      <c r="I35" s="220" t="s">
        <v>59</v>
      </c>
      <c r="J35" s="220" t="s">
        <v>59</v>
      </c>
      <c r="K35" s="220" t="s">
        <v>59</v>
      </c>
      <c r="L35" s="220" t="s">
        <v>59</v>
      </c>
      <c r="M35" s="220">
        <v>1</v>
      </c>
      <c r="N35" s="220" t="s">
        <v>59</v>
      </c>
      <c r="O35" s="220" t="s">
        <v>59</v>
      </c>
      <c r="P35" s="220" t="s">
        <v>59</v>
      </c>
      <c r="Q35" s="220" t="s">
        <v>59</v>
      </c>
      <c r="R35" s="220" t="s">
        <v>59</v>
      </c>
      <c r="S35" s="220" t="s">
        <v>59</v>
      </c>
      <c r="T35" s="220" t="s">
        <v>59</v>
      </c>
      <c r="U35" s="220" t="s">
        <v>59</v>
      </c>
      <c r="V35" s="220" t="s">
        <v>59</v>
      </c>
      <c r="W35" s="221">
        <f t="shared" si="0"/>
        <v>1</v>
      </c>
    </row>
    <row r="36" spans="2:23" ht="36.75" thickBot="1" x14ac:dyDescent="0.3">
      <c r="B36" s="219" t="s">
        <v>88</v>
      </c>
      <c r="C36" s="220" t="s">
        <v>59</v>
      </c>
      <c r="D36" s="220" t="s">
        <v>59</v>
      </c>
      <c r="E36" s="220" t="s">
        <v>59</v>
      </c>
      <c r="F36" s="220" t="s">
        <v>59</v>
      </c>
      <c r="G36" s="220" t="s">
        <v>59</v>
      </c>
      <c r="H36" s="220" t="s">
        <v>59</v>
      </c>
      <c r="I36" s="220" t="s">
        <v>59</v>
      </c>
      <c r="J36" s="220" t="s">
        <v>59</v>
      </c>
      <c r="K36" s="220" t="s">
        <v>59</v>
      </c>
      <c r="L36" s="220" t="s">
        <v>59</v>
      </c>
      <c r="M36" s="220" t="s">
        <v>59</v>
      </c>
      <c r="N36" s="220" t="s">
        <v>59</v>
      </c>
      <c r="O36" s="220" t="s">
        <v>59</v>
      </c>
      <c r="P36" s="220" t="s">
        <v>59</v>
      </c>
      <c r="Q36" s="220">
        <v>1</v>
      </c>
      <c r="R36" s="220" t="s">
        <v>59</v>
      </c>
      <c r="S36" s="220" t="s">
        <v>59</v>
      </c>
      <c r="T36" s="220" t="s">
        <v>59</v>
      </c>
      <c r="U36" s="220" t="s">
        <v>59</v>
      </c>
      <c r="V36" s="220" t="s">
        <v>59</v>
      </c>
      <c r="W36" s="221">
        <f t="shared" si="0"/>
        <v>1</v>
      </c>
    </row>
    <row r="37" spans="2:23" ht="15.75" thickBot="1" x14ac:dyDescent="0.3">
      <c r="B37" s="222" t="s">
        <v>87</v>
      </c>
      <c r="C37" s="223">
        <f>SUM(C17:C36)</f>
        <v>1</v>
      </c>
      <c r="D37" s="223">
        <f t="shared" ref="D37:V37" si="1">SUM(D17:D36)</f>
        <v>4</v>
      </c>
      <c r="E37" s="223">
        <f t="shared" si="1"/>
        <v>3</v>
      </c>
      <c r="F37" s="223">
        <f t="shared" si="1"/>
        <v>4</v>
      </c>
      <c r="G37" s="223">
        <f t="shared" si="1"/>
        <v>2</v>
      </c>
      <c r="H37" s="223">
        <f t="shared" si="1"/>
        <v>11</v>
      </c>
      <c r="I37" s="223">
        <f t="shared" si="1"/>
        <v>88</v>
      </c>
      <c r="J37" s="223">
        <f t="shared" si="1"/>
        <v>140</v>
      </c>
      <c r="K37" s="223">
        <f t="shared" si="1"/>
        <v>147</v>
      </c>
      <c r="L37" s="223">
        <f t="shared" si="1"/>
        <v>221</v>
      </c>
      <c r="M37" s="223">
        <f t="shared" si="1"/>
        <v>103</v>
      </c>
      <c r="N37" s="223">
        <f t="shared" si="1"/>
        <v>94</v>
      </c>
      <c r="O37" s="223">
        <f t="shared" si="1"/>
        <v>62</v>
      </c>
      <c r="P37" s="223">
        <f t="shared" si="1"/>
        <v>48</v>
      </c>
      <c r="Q37" s="223">
        <f t="shared" si="1"/>
        <v>91</v>
      </c>
      <c r="R37" s="223">
        <f t="shared" si="1"/>
        <v>43</v>
      </c>
      <c r="S37" s="223">
        <f t="shared" si="1"/>
        <v>9</v>
      </c>
      <c r="T37" s="223">
        <f t="shared" si="1"/>
        <v>17</v>
      </c>
      <c r="U37" s="223">
        <f t="shared" si="1"/>
        <v>2</v>
      </c>
      <c r="V37" s="223">
        <f t="shared" si="1"/>
        <v>4</v>
      </c>
      <c r="W37" s="223">
        <f>SUM(W17:W36)</f>
        <v>1094</v>
      </c>
    </row>
    <row r="38" spans="2:23" ht="36" x14ac:dyDescent="0.25">
      <c r="B38" s="224" t="s">
        <v>4</v>
      </c>
      <c r="C38" s="225" t="s">
        <v>59</v>
      </c>
      <c r="D38" s="225" t="s">
        <v>59</v>
      </c>
      <c r="E38" s="225" t="s">
        <v>59</v>
      </c>
      <c r="F38" s="225" t="s">
        <v>59</v>
      </c>
      <c r="G38" s="225" t="s">
        <v>59</v>
      </c>
      <c r="H38" s="225">
        <v>24</v>
      </c>
      <c r="I38" s="225">
        <v>24</v>
      </c>
      <c r="J38" s="225">
        <v>20</v>
      </c>
      <c r="K38" s="225">
        <v>17</v>
      </c>
      <c r="L38" s="225" t="s">
        <v>59</v>
      </c>
      <c r="M38" s="225" t="s">
        <v>59</v>
      </c>
      <c r="N38" s="225" t="s">
        <v>59</v>
      </c>
      <c r="O38" s="225" t="s">
        <v>59</v>
      </c>
      <c r="P38" s="225" t="s">
        <v>59</v>
      </c>
      <c r="Q38" s="225" t="s">
        <v>59</v>
      </c>
      <c r="R38" s="225" t="s">
        <v>59</v>
      </c>
      <c r="S38" s="225" t="s">
        <v>59</v>
      </c>
      <c r="T38" s="225" t="s">
        <v>59</v>
      </c>
      <c r="U38" s="225" t="s">
        <v>59</v>
      </c>
      <c r="V38" s="225" t="s">
        <v>59</v>
      </c>
      <c r="W38" s="226">
        <v>85</v>
      </c>
    </row>
    <row r="39" spans="2:23" ht="27.75" thickBot="1" x14ac:dyDescent="0.3">
      <c r="B39" s="219" t="s">
        <v>89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</row>
    <row r="40" spans="2:23" ht="15.75" thickBot="1" x14ac:dyDescent="0.3">
      <c r="B40" s="222" t="s">
        <v>87</v>
      </c>
      <c r="C40" s="223">
        <v>0</v>
      </c>
      <c r="D40" s="223">
        <v>0</v>
      </c>
      <c r="E40" s="223">
        <v>0</v>
      </c>
      <c r="F40" s="223">
        <v>0</v>
      </c>
      <c r="G40" s="223">
        <v>0</v>
      </c>
      <c r="H40" s="223">
        <v>24</v>
      </c>
      <c r="I40" s="223">
        <v>24</v>
      </c>
      <c r="J40" s="223">
        <v>20</v>
      </c>
      <c r="K40" s="223">
        <v>17</v>
      </c>
      <c r="L40" s="223">
        <v>0</v>
      </c>
      <c r="M40" s="223">
        <v>0</v>
      </c>
      <c r="N40" s="223">
        <v>0</v>
      </c>
      <c r="O40" s="223">
        <v>0</v>
      </c>
      <c r="P40" s="223">
        <v>0</v>
      </c>
      <c r="Q40" s="223">
        <v>0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85</v>
      </c>
    </row>
    <row r="41" spans="2:23" ht="15.75" thickBot="1" x14ac:dyDescent="0.3">
      <c r="B41" s="219" t="s">
        <v>34</v>
      </c>
      <c r="C41" s="221">
        <f>C40+C37</f>
        <v>1</v>
      </c>
      <c r="D41" s="221">
        <f t="shared" ref="D41:T41" si="2">D40+D37</f>
        <v>4</v>
      </c>
      <c r="E41" s="221">
        <f t="shared" si="2"/>
        <v>3</v>
      </c>
      <c r="F41" s="221">
        <f t="shared" si="2"/>
        <v>4</v>
      </c>
      <c r="G41" s="221">
        <f t="shared" si="2"/>
        <v>2</v>
      </c>
      <c r="H41" s="221">
        <f t="shared" si="2"/>
        <v>35</v>
      </c>
      <c r="I41" s="221">
        <f t="shared" si="2"/>
        <v>112</v>
      </c>
      <c r="J41" s="221">
        <f t="shared" si="2"/>
        <v>160</v>
      </c>
      <c r="K41" s="221">
        <f t="shared" si="2"/>
        <v>164</v>
      </c>
      <c r="L41" s="221">
        <f t="shared" si="2"/>
        <v>221</v>
      </c>
      <c r="M41" s="221">
        <f t="shared" si="2"/>
        <v>103</v>
      </c>
      <c r="N41" s="221">
        <f t="shared" si="2"/>
        <v>94</v>
      </c>
      <c r="O41" s="221">
        <f t="shared" si="2"/>
        <v>62</v>
      </c>
      <c r="P41" s="221">
        <f t="shared" si="2"/>
        <v>48</v>
      </c>
      <c r="Q41" s="221">
        <f t="shared" si="2"/>
        <v>91</v>
      </c>
      <c r="R41" s="221">
        <f t="shared" si="2"/>
        <v>43</v>
      </c>
      <c r="S41" s="221">
        <f t="shared" si="2"/>
        <v>9</v>
      </c>
      <c r="T41" s="221">
        <f t="shared" si="2"/>
        <v>17</v>
      </c>
      <c r="U41" s="221">
        <v>2</v>
      </c>
      <c r="V41" s="221">
        <v>4</v>
      </c>
      <c r="W41" s="229">
        <f>W37+W40</f>
        <v>1179</v>
      </c>
    </row>
  </sheetData>
  <mergeCells count="24">
    <mergeCell ref="V38:V39"/>
    <mergeCell ref="W38:W39"/>
    <mergeCell ref="P38:P39"/>
    <mergeCell ref="Q38:Q39"/>
    <mergeCell ref="R38:R39"/>
    <mergeCell ref="S38:S39"/>
    <mergeCell ref="T38:T39"/>
    <mergeCell ref="U38:U39"/>
    <mergeCell ref="J38:J39"/>
    <mergeCell ref="K38:K39"/>
    <mergeCell ref="L38:L39"/>
    <mergeCell ref="M38:M39"/>
    <mergeCell ref="N38:N39"/>
    <mergeCell ref="O38:O39"/>
    <mergeCell ref="B15:B16"/>
    <mergeCell ref="C15:T15"/>
    <mergeCell ref="W15:W16"/>
    <mergeCell ref="C38:C39"/>
    <mergeCell ref="D38:D39"/>
    <mergeCell ref="E38:E39"/>
    <mergeCell ref="F38:F39"/>
    <mergeCell ref="G38:G39"/>
    <mergeCell ref="H38:H39"/>
    <mergeCell ref="I38:I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44F-5A23-46AF-9B5C-A835852C72AB}">
  <dimension ref="B2:Z34"/>
  <sheetViews>
    <sheetView workbookViewId="0">
      <selection activeCell="B2" sqref="B2:Z34"/>
    </sheetView>
  </sheetViews>
  <sheetFormatPr baseColWidth="10" defaultRowHeight="15" x14ac:dyDescent="0.25"/>
  <sheetData>
    <row r="2" spans="2:26" x14ac:dyDescent="0.25">
      <c r="B2" s="13" t="s">
        <v>0</v>
      </c>
      <c r="C2" s="14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7" t="s">
        <v>34</v>
      </c>
    </row>
    <row r="3" spans="2:26" x14ac:dyDescent="0.25">
      <c r="B3" s="18"/>
      <c r="C3" s="19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0" t="s">
        <v>42</v>
      </c>
      <c r="J3" s="20" t="s">
        <v>43</v>
      </c>
      <c r="K3" s="20" t="s">
        <v>44</v>
      </c>
      <c r="L3" s="20" t="s">
        <v>45</v>
      </c>
      <c r="M3" s="20" t="s">
        <v>46</v>
      </c>
      <c r="N3" s="20" t="s">
        <v>47</v>
      </c>
      <c r="O3" s="20" t="s">
        <v>48</v>
      </c>
      <c r="P3" s="20" t="s">
        <v>49</v>
      </c>
      <c r="Q3" s="20" t="s">
        <v>50</v>
      </c>
      <c r="R3" s="20" t="s">
        <v>51</v>
      </c>
      <c r="S3" s="20" t="s">
        <v>52</v>
      </c>
      <c r="T3" s="20" t="s">
        <v>53</v>
      </c>
      <c r="U3" s="20" t="s">
        <v>54</v>
      </c>
      <c r="V3" s="21" t="s">
        <v>55</v>
      </c>
      <c r="W3" s="20" t="s">
        <v>56</v>
      </c>
      <c r="X3" s="20" t="s">
        <v>57</v>
      </c>
      <c r="Y3" s="20" t="s">
        <v>58</v>
      </c>
      <c r="Z3" s="22"/>
    </row>
    <row r="4" spans="2:26" x14ac:dyDescent="0.25">
      <c r="B4" s="23" t="s">
        <v>4</v>
      </c>
      <c r="C4" s="24">
        <v>67</v>
      </c>
      <c r="D4" s="24">
        <v>76</v>
      </c>
      <c r="E4" s="24">
        <v>78</v>
      </c>
      <c r="F4" s="24">
        <v>288</v>
      </c>
      <c r="G4" s="24">
        <v>357</v>
      </c>
      <c r="H4" s="24">
        <v>548</v>
      </c>
      <c r="I4" s="24">
        <v>515</v>
      </c>
      <c r="J4" s="24">
        <v>482</v>
      </c>
      <c r="K4" s="24">
        <v>556</v>
      </c>
      <c r="L4" s="24">
        <v>635</v>
      </c>
      <c r="M4" s="24">
        <v>673</v>
      </c>
      <c r="N4" s="24">
        <v>899</v>
      </c>
      <c r="O4" s="24">
        <v>1117</v>
      </c>
      <c r="P4" s="24">
        <v>1070</v>
      </c>
      <c r="Q4" s="24">
        <v>1321</v>
      </c>
      <c r="R4" s="24">
        <v>1130</v>
      </c>
      <c r="S4" s="24">
        <v>1267</v>
      </c>
      <c r="T4" s="24">
        <v>916</v>
      </c>
      <c r="U4" s="24">
        <v>1121</v>
      </c>
      <c r="V4" s="24">
        <v>1537</v>
      </c>
      <c r="W4" s="24">
        <v>1619</v>
      </c>
      <c r="X4" s="24">
        <v>1790</v>
      </c>
      <c r="Y4" s="24">
        <v>1725</v>
      </c>
      <c r="Z4" s="25">
        <f>SUM(Tabla9[[#This Row],[2002]:[2024]])</f>
        <v>19787</v>
      </c>
    </row>
    <row r="5" spans="2:26" x14ac:dyDescent="0.25">
      <c r="B5" s="23" t="s">
        <v>5</v>
      </c>
      <c r="C5" s="24">
        <v>57</v>
      </c>
      <c r="D5" s="24">
        <v>54</v>
      </c>
      <c r="E5" s="24">
        <v>74</v>
      </c>
      <c r="F5" s="24">
        <v>78</v>
      </c>
      <c r="G5" s="24">
        <v>83</v>
      </c>
      <c r="H5" s="24">
        <v>72</v>
      </c>
      <c r="I5" s="24">
        <v>85</v>
      </c>
      <c r="J5" s="24">
        <v>86</v>
      </c>
      <c r="K5" s="24">
        <v>86</v>
      </c>
      <c r="L5" s="24">
        <v>80</v>
      </c>
      <c r="M5" s="24">
        <v>73</v>
      </c>
      <c r="N5" s="24">
        <v>65</v>
      </c>
      <c r="O5" s="24">
        <v>70</v>
      </c>
      <c r="P5" s="24">
        <v>78</v>
      </c>
      <c r="Q5" s="24">
        <v>75</v>
      </c>
      <c r="R5" s="24">
        <v>75</v>
      </c>
      <c r="S5" s="24">
        <v>55</v>
      </c>
      <c r="T5" s="24">
        <v>47</v>
      </c>
      <c r="U5" s="24">
        <v>51</v>
      </c>
      <c r="V5" s="24">
        <v>42</v>
      </c>
      <c r="W5" s="24">
        <v>41</v>
      </c>
      <c r="X5" s="24">
        <v>46</v>
      </c>
      <c r="Y5" s="24">
        <v>41</v>
      </c>
      <c r="Z5" s="25">
        <f>SUM(Tabla9[[#This Row],[2002]:[2024]])</f>
        <v>1514</v>
      </c>
    </row>
    <row r="6" spans="2:26" x14ac:dyDescent="0.25">
      <c r="B6" s="23" t="s">
        <v>6</v>
      </c>
      <c r="C6" s="24">
        <v>41</v>
      </c>
      <c r="D6" s="24">
        <v>39</v>
      </c>
      <c r="E6" s="24">
        <v>57</v>
      </c>
      <c r="F6" s="24">
        <v>52</v>
      </c>
      <c r="G6" s="24">
        <v>74</v>
      </c>
      <c r="H6" s="24">
        <v>97</v>
      </c>
      <c r="I6" s="24">
        <v>82</v>
      </c>
      <c r="J6" s="24">
        <v>91</v>
      </c>
      <c r="K6" s="24">
        <v>104</v>
      </c>
      <c r="L6" s="24">
        <v>93</v>
      </c>
      <c r="M6" s="24">
        <v>85</v>
      </c>
      <c r="N6" s="24">
        <v>59</v>
      </c>
      <c r="O6" s="24">
        <v>56</v>
      </c>
      <c r="P6" s="24">
        <v>54</v>
      </c>
      <c r="Q6" s="24">
        <v>53</v>
      </c>
      <c r="R6" s="24">
        <v>66</v>
      </c>
      <c r="S6" s="24">
        <v>71</v>
      </c>
      <c r="T6" s="24">
        <v>52</v>
      </c>
      <c r="U6" s="24">
        <v>56</v>
      </c>
      <c r="V6" s="24">
        <v>47</v>
      </c>
      <c r="W6" s="24">
        <v>46</v>
      </c>
      <c r="X6" s="24">
        <v>43</v>
      </c>
      <c r="Y6" s="24">
        <v>56</v>
      </c>
      <c r="Z6" s="25">
        <f>SUM(Tabla9[[#This Row],[2002]:[2024]])</f>
        <v>1474</v>
      </c>
    </row>
    <row r="7" spans="2:26" x14ac:dyDescent="0.25">
      <c r="B7" s="23" t="s">
        <v>7</v>
      </c>
      <c r="C7" s="24">
        <v>5</v>
      </c>
      <c r="D7" s="24">
        <v>5</v>
      </c>
      <c r="E7" s="24">
        <v>9</v>
      </c>
      <c r="F7" s="24">
        <v>7</v>
      </c>
      <c r="G7" s="24">
        <v>6</v>
      </c>
      <c r="H7" s="24">
        <v>10</v>
      </c>
      <c r="I7" s="24">
        <v>15</v>
      </c>
      <c r="J7" s="24">
        <v>14</v>
      </c>
      <c r="K7" s="24">
        <v>11</v>
      </c>
      <c r="L7" s="24">
        <v>11</v>
      </c>
      <c r="M7" s="24">
        <v>25</v>
      </c>
      <c r="N7" s="24">
        <v>27</v>
      </c>
      <c r="O7" s="24">
        <v>69</v>
      </c>
      <c r="P7" s="24">
        <v>59</v>
      </c>
      <c r="Q7" s="24">
        <v>48</v>
      </c>
      <c r="R7" s="24">
        <v>40</v>
      </c>
      <c r="S7" s="24">
        <v>41</v>
      </c>
      <c r="T7" s="24">
        <v>41</v>
      </c>
      <c r="U7" s="24">
        <v>75</v>
      </c>
      <c r="V7" s="24">
        <v>131</v>
      </c>
      <c r="W7" s="24">
        <v>130</v>
      </c>
      <c r="X7" s="24">
        <v>151</v>
      </c>
      <c r="Y7" s="24">
        <v>104</v>
      </c>
      <c r="Z7" s="25">
        <f>SUM(Tabla9[[#This Row],[2002]:[2024]])</f>
        <v>1034</v>
      </c>
    </row>
    <row r="8" spans="2:26" x14ac:dyDescent="0.25">
      <c r="B8" s="23" t="s">
        <v>8</v>
      </c>
      <c r="C8" s="24">
        <v>28</v>
      </c>
      <c r="D8" s="24">
        <v>24</v>
      </c>
      <c r="E8" s="24">
        <v>46</v>
      </c>
      <c r="F8" s="24">
        <v>42</v>
      </c>
      <c r="G8" s="24">
        <v>49</v>
      </c>
      <c r="H8" s="24">
        <v>38</v>
      </c>
      <c r="I8" s="24">
        <v>35</v>
      </c>
      <c r="J8" s="24">
        <v>39</v>
      </c>
      <c r="K8" s="24">
        <v>42</v>
      </c>
      <c r="L8" s="24">
        <v>51</v>
      </c>
      <c r="M8" s="24">
        <v>46</v>
      </c>
      <c r="N8" s="24">
        <v>71</v>
      </c>
      <c r="O8" s="24">
        <v>66</v>
      </c>
      <c r="P8" s="24">
        <v>50</v>
      </c>
      <c r="Q8" s="24">
        <v>44</v>
      </c>
      <c r="R8" s="24">
        <v>49</v>
      </c>
      <c r="S8" s="24">
        <v>60</v>
      </c>
      <c r="T8" s="24">
        <v>53</v>
      </c>
      <c r="U8" s="24">
        <v>39</v>
      </c>
      <c r="V8" s="24">
        <v>30</v>
      </c>
      <c r="W8" s="24">
        <v>38</v>
      </c>
      <c r="X8" s="24">
        <v>39</v>
      </c>
      <c r="Y8" s="24">
        <v>31</v>
      </c>
      <c r="Z8" s="25">
        <f>SUM(Tabla9[[#This Row],[2002]:[2024]])</f>
        <v>1010</v>
      </c>
    </row>
    <row r="9" spans="2:26" x14ac:dyDescent="0.25">
      <c r="B9" s="23" t="s">
        <v>9</v>
      </c>
      <c r="C9" s="24">
        <v>21</v>
      </c>
      <c r="D9" s="24">
        <v>18</v>
      </c>
      <c r="E9" s="24">
        <v>18</v>
      </c>
      <c r="F9" s="24">
        <v>22</v>
      </c>
      <c r="G9" s="24">
        <v>31</v>
      </c>
      <c r="H9" s="24">
        <v>27</v>
      </c>
      <c r="I9" s="24">
        <v>27</v>
      </c>
      <c r="J9" s="24">
        <v>34</v>
      </c>
      <c r="K9" s="24">
        <v>31</v>
      </c>
      <c r="L9" s="24">
        <v>25</v>
      </c>
      <c r="M9" s="24">
        <v>29</v>
      </c>
      <c r="N9" s="24">
        <v>21</v>
      </c>
      <c r="O9" s="24">
        <v>29</v>
      </c>
      <c r="P9" s="24">
        <v>32</v>
      </c>
      <c r="Q9" s="24">
        <v>28</v>
      </c>
      <c r="R9" s="24">
        <v>27</v>
      </c>
      <c r="S9" s="24">
        <v>46</v>
      </c>
      <c r="T9" s="24">
        <v>34</v>
      </c>
      <c r="U9" s="24">
        <v>36</v>
      </c>
      <c r="V9" s="24">
        <v>28</v>
      </c>
      <c r="W9" s="24">
        <v>29</v>
      </c>
      <c r="X9" s="24">
        <v>51</v>
      </c>
      <c r="Y9" s="24">
        <v>58</v>
      </c>
      <c r="Z9" s="25">
        <f>SUM(Tabla9[[#This Row],[2002]:[2024]])</f>
        <v>702</v>
      </c>
    </row>
    <row r="10" spans="2:26" x14ac:dyDescent="0.25">
      <c r="B10" s="23" t="s">
        <v>10</v>
      </c>
      <c r="C10" s="24">
        <v>12</v>
      </c>
      <c r="D10" s="24">
        <v>9</v>
      </c>
      <c r="E10" s="24">
        <v>18</v>
      </c>
      <c r="F10" s="24">
        <v>17</v>
      </c>
      <c r="G10" s="24">
        <v>20</v>
      </c>
      <c r="H10" s="24">
        <v>21</v>
      </c>
      <c r="I10" s="24">
        <v>27</v>
      </c>
      <c r="J10" s="24">
        <v>25</v>
      </c>
      <c r="K10" s="24">
        <v>28</v>
      </c>
      <c r="L10" s="24">
        <v>31</v>
      </c>
      <c r="M10" s="24">
        <v>31</v>
      </c>
      <c r="N10" s="24">
        <v>33</v>
      </c>
      <c r="O10" s="24">
        <v>40</v>
      </c>
      <c r="P10" s="24">
        <v>46</v>
      </c>
      <c r="Q10" s="24">
        <v>46</v>
      </c>
      <c r="R10" s="24">
        <v>42</v>
      </c>
      <c r="S10" s="24">
        <v>43</v>
      </c>
      <c r="T10" s="24">
        <v>25</v>
      </c>
      <c r="U10" s="24">
        <v>33</v>
      </c>
      <c r="V10" s="24">
        <v>23</v>
      </c>
      <c r="W10" s="24">
        <v>29</v>
      </c>
      <c r="X10" s="24">
        <v>28</v>
      </c>
      <c r="Y10" s="24">
        <v>23</v>
      </c>
      <c r="Z10" s="25">
        <f>SUM(Tabla9[[#This Row],[2002]:[2024]])</f>
        <v>650</v>
      </c>
    </row>
    <row r="11" spans="2:26" x14ac:dyDescent="0.25">
      <c r="B11" s="23" t="s">
        <v>11</v>
      </c>
      <c r="C11" s="24">
        <v>9</v>
      </c>
      <c r="D11" s="24">
        <v>8</v>
      </c>
      <c r="E11" s="24">
        <v>10</v>
      </c>
      <c r="F11" s="24">
        <v>7</v>
      </c>
      <c r="G11" s="24">
        <v>11</v>
      </c>
      <c r="H11" s="24">
        <v>8</v>
      </c>
      <c r="I11" s="24">
        <v>19</v>
      </c>
      <c r="J11" s="24">
        <v>19</v>
      </c>
      <c r="K11" s="24">
        <v>20</v>
      </c>
      <c r="L11" s="24">
        <v>20</v>
      </c>
      <c r="M11" s="24">
        <v>40</v>
      </c>
      <c r="N11" s="24">
        <v>32</v>
      </c>
      <c r="O11" s="24">
        <v>25</v>
      </c>
      <c r="P11" s="24">
        <v>35</v>
      </c>
      <c r="Q11" s="24">
        <v>36</v>
      </c>
      <c r="R11" s="24">
        <v>29</v>
      </c>
      <c r="S11" s="24">
        <v>33</v>
      </c>
      <c r="T11" s="24">
        <v>17</v>
      </c>
      <c r="U11" s="24">
        <v>41</v>
      </c>
      <c r="V11" s="24">
        <v>33</v>
      </c>
      <c r="W11" s="24">
        <v>37</v>
      </c>
      <c r="X11" s="24">
        <v>26</v>
      </c>
      <c r="Y11" s="24">
        <v>23</v>
      </c>
      <c r="Z11" s="25">
        <f>SUM(Tabla9[[#This Row],[2002]:[2024]])</f>
        <v>538</v>
      </c>
    </row>
    <row r="12" spans="2:26" x14ac:dyDescent="0.25">
      <c r="B12" s="23" t="s">
        <v>12</v>
      </c>
      <c r="C12" s="24">
        <v>13</v>
      </c>
      <c r="D12" s="24">
        <v>9</v>
      </c>
      <c r="E12" s="24">
        <v>13</v>
      </c>
      <c r="F12" s="24">
        <v>11</v>
      </c>
      <c r="G12" s="24">
        <v>12</v>
      </c>
      <c r="H12" s="24">
        <v>16</v>
      </c>
      <c r="I12" s="24">
        <v>19</v>
      </c>
      <c r="J12" s="24">
        <v>20</v>
      </c>
      <c r="K12" s="24">
        <v>17</v>
      </c>
      <c r="L12" s="24">
        <v>25</v>
      </c>
      <c r="M12" s="24">
        <v>18</v>
      </c>
      <c r="N12" s="24">
        <v>37</v>
      </c>
      <c r="O12" s="24">
        <v>29</v>
      </c>
      <c r="P12" s="24">
        <v>35</v>
      </c>
      <c r="Q12" s="24">
        <v>37</v>
      </c>
      <c r="R12" s="24">
        <v>27</v>
      </c>
      <c r="S12" s="24">
        <v>32</v>
      </c>
      <c r="T12" s="24">
        <v>22</v>
      </c>
      <c r="U12" s="24">
        <v>14</v>
      </c>
      <c r="V12" s="24">
        <v>16</v>
      </c>
      <c r="W12" s="24">
        <v>16</v>
      </c>
      <c r="X12" s="24">
        <v>25</v>
      </c>
      <c r="Y12" s="24">
        <v>21</v>
      </c>
      <c r="Z12" s="25">
        <f>SUM(Tabla9[[#This Row],[2002]:[2024]])</f>
        <v>484</v>
      </c>
    </row>
    <row r="13" spans="2:26" x14ac:dyDescent="0.25">
      <c r="B13" s="23" t="s">
        <v>13</v>
      </c>
      <c r="C13" s="24">
        <v>8</v>
      </c>
      <c r="D13" s="24">
        <v>11</v>
      </c>
      <c r="E13" s="24">
        <v>14</v>
      </c>
      <c r="F13" s="24">
        <v>22</v>
      </c>
      <c r="G13" s="24">
        <v>20</v>
      </c>
      <c r="H13" s="24">
        <v>14</v>
      </c>
      <c r="I13" s="24">
        <v>23</v>
      </c>
      <c r="J13" s="24">
        <v>18</v>
      </c>
      <c r="K13" s="24">
        <v>23</v>
      </c>
      <c r="L13" s="24">
        <v>21</v>
      </c>
      <c r="M13" s="24">
        <v>24</v>
      </c>
      <c r="N13" s="24">
        <v>29</v>
      </c>
      <c r="O13" s="24">
        <v>32</v>
      </c>
      <c r="P13" s="24">
        <v>24</v>
      </c>
      <c r="Q13" s="24">
        <v>27</v>
      </c>
      <c r="R13" s="24">
        <v>28</v>
      </c>
      <c r="S13" s="24">
        <v>31</v>
      </c>
      <c r="T13" s="24">
        <v>15</v>
      </c>
      <c r="U13" s="24">
        <v>11</v>
      </c>
      <c r="V13" s="24">
        <v>15</v>
      </c>
      <c r="W13" s="24">
        <v>19</v>
      </c>
      <c r="X13" s="24">
        <v>11</v>
      </c>
      <c r="Y13" s="24">
        <v>10</v>
      </c>
      <c r="Z13" s="25">
        <f>SUM(Tabla9[[#This Row],[2002]:[2024]])</f>
        <v>450</v>
      </c>
    </row>
    <row r="14" spans="2:26" x14ac:dyDescent="0.25">
      <c r="B14" s="23" t="s">
        <v>14</v>
      </c>
      <c r="C14" s="24">
        <v>8</v>
      </c>
      <c r="D14" s="24">
        <v>6</v>
      </c>
      <c r="E14" s="24">
        <v>7</v>
      </c>
      <c r="F14" s="24">
        <v>13</v>
      </c>
      <c r="G14" s="24">
        <v>9</v>
      </c>
      <c r="H14" s="24">
        <v>16</v>
      </c>
      <c r="I14" s="24">
        <v>13</v>
      </c>
      <c r="J14" s="24">
        <v>17</v>
      </c>
      <c r="K14" s="24">
        <v>11</v>
      </c>
      <c r="L14" s="24">
        <v>7</v>
      </c>
      <c r="M14" s="24">
        <v>9</v>
      </c>
      <c r="N14" s="24">
        <v>8</v>
      </c>
      <c r="O14" s="24">
        <v>10</v>
      </c>
      <c r="P14" s="24">
        <v>12</v>
      </c>
      <c r="Q14" s="24">
        <v>24</v>
      </c>
      <c r="R14" s="24">
        <v>33</v>
      </c>
      <c r="S14" s="24">
        <v>29</v>
      </c>
      <c r="T14" s="24">
        <v>27</v>
      </c>
      <c r="U14" s="24">
        <v>17</v>
      </c>
      <c r="V14" s="24">
        <v>26</v>
      </c>
      <c r="W14" s="24">
        <v>14</v>
      </c>
      <c r="X14" s="24">
        <v>21</v>
      </c>
      <c r="Y14" s="24">
        <v>24</v>
      </c>
      <c r="Z14" s="25">
        <f>SUM(Tabla9[[#This Row],[2002]:[2024]])</f>
        <v>361</v>
      </c>
    </row>
    <row r="15" spans="2:26" x14ac:dyDescent="0.25">
      <c r="B15" s="23" t="s">
        <v>15</v>
      </c>
      <c r="C15" s="24">
        <v>5</v>
      </c>
      <c r="D15" s="24">
        <v>5</v>
      </c>
      <c r="E15" s="24">
        <v>3</v>
      </c>
      <c r="F15" s="24">
        <v>6</v>
      </c>
      <c r="G15" s="24">
        <v>3</v>
      </c>
      <c r="H15" s="24">
        <v>6</v>
      </c>
      <c r="I15" s="24">
        <v>36</v>
      </c>
      <c r="J15" s="24">
        <v>7</v>
      </c>
      <c r="K15" s="24">
        <v>4</v>
      </c>
      <c r="L15" s="24">
        <v>4</v>
      </c>
      <c r="M15" s="24">
        <v>7</v>
      </c>
      <c r="N15" s="24">
        <v>16</v>
      </c>
      <c r="O15" s="24">
        <v>14</v>
      </c>
      <c r="P15" s="24">
        <v>21</v>
      </c>
      <c r="Q15" s="24">
        <v>20</v>
      </c>
      <c r="R15" s="24">
        <v>11</v>
      </c>
      <c r="S15" s="24">
        <v>9</v>
      </c>
      <c r="T15" s="24">
        <v>15</v>
      </c>
      <c r="U15" s="24">
        <v>15</v>
      </c>
      <c r="V15" s="24">
        <v>19</v>
      </c>
      <c r="W15" s="24">
        <v>14</v>
      </c>
      <c r="X15" s="24">
        <v>8</v>
      </c>
      <c r="Y15" s="24">
        <v>11</v>
      </c>
      <c r="Z15" s="25">
        <f>SUM(Tabla9[[#This Row],[2002]:[2024]])</f>
        <v>259</v>
      </c>
    </row>
    <row r="16" spans="2:26" x14ac:dyDescent="0.25">
      <c r="B16" s="23" t="s">
        <v>16</v>
      </c>
      <c r="C16" s="24">
        <v>24</v>
      </c>
      <c r="D16" s="24">
        <v>20</v>
      </c>
      <c r="E16" s="24">
        <v>21</v>
      </c>
      <c r="F16" s="24">
        <v>18</v>
      </c>
      <c r="G16" s="24">
        <v>14</v>
      </c>
      <c r="H16" s="24">
        <v>14</v>
      </c>
      <c r="I16" s="24">
        <v>14</v>
      </c>
      <c r="J16" s="24">
        <v>6</v>
      </c>
      <c r="K16" s="24">
        <v>8</v>
      </c>
      <c r="L16" s="24">
        <v>8</v>
      </c>
      <c r="M16" s="24">
        <v>4</v>
      </c>
      <c r="N16" s="24">
        <v>5</v>
      </c>
      <c r="O16" s="24">
        <v>8</v>
      </c>
      <c r="P16" s="24">
        <v>10</v>
      </c>
      <c r="Q16" s="24">
        <v>14</v>
      </c>
      <c r="R16" s="24">
        <v>15</v>
      </c>
      <c r="S16" s="24">
        <v>9</v>
      </c>
      <c r="T16" s="24">
        <v>2</v>
      </c>
      <c r="U16" s="24">
        <v>7</v>
      </c>
      <c r="V16" s="24">
        <v>2</v>
      </c>
      <c r="W16" s="24">
        <v>7</v>
      </c>
      <c r="X16" s="24">
        <v>12</v>
      </c>
      <c r="Y16" s="24">
        <v>6</v>
      </c>
      <c r="Z16" s="25">
        <f>SUM(Tabla9[[#This Row],[2002]:[2024]])</f>
        <v>248</v>
      </c>
    </row>
    <row r="17" spans="2:26" x14ac:dyDescent="0.25">
      <c r="B17" s="23" t="s">
        <v>17</v>
      </c>
      <c r="C17" s="24">
        <v>6</v>
      </c>
      <c r="D17" s="24">
        <v>5</v>
      </c>
      <c r="E17" s="24">
        <v>4</v>
      </c>
      <c r="F17" s="24">
        <v>6</v>
      </c>
      <c r="G17" s="24">
        <v>12</v>
      </c>
      <c r="H17" s="24">
        <v>7</v>
      </c>
      <c r="I17" s="24">
        <v>5</v>
      </c>
      <c r="J17" s="24">
        <v>10</v>
      </c>
      <c r="K17" s="24">
        <v>19</v>
      </c>
      <c r="L17" s="24">
        <v>12</v>
      </c>
      <c r="M17" s="24">
        <v>13</v>
      </c>
      <c r="N17" s="24">
        <v>9</v>
      </c>
      <c r="O17" s="24">
        <v>9</v>
      </c>
      <c r="P17" s="24">
        <v>12</v>
      </c>
      <c r="Q17" s="24">
        <v>16</v>
      </c>
      <c r="R17" s="24">
        <v>12</v>
      </c>
      <c r="S17" s="24">
        <v>4</v>
      </c>
      <c r="T17" s="24">
        <v>7</v>
      </c>
      <c r="U17" s="24">
        <v>6</v>
      </c>
      <c r="V17" s="24">
        <v>9</v>
      </c>
      <c r="W17" s="24">
        <v>14</v>
      </c>
      <c r="X17" s="24">
        <v>11</v>
      </c>
      <c r="Y17" s="24">
        <v>15</v>
      </c>
      <c r="Z17" s="25">
        <f>SUM(Tabla9[[#This Row],[2002]:[2024]])</f>
        <v>223</v>
      </c>
    </row>
    <row r="18" spans="2:26" x14ac:dyDescent="0.25">
      <c r="B18" s="23" t="s">
        <v>18</v>
      </c>
      <c r="C18" s="24">
        <v>5</v>
      </c>
      <c r="D18" s="24">
        <v>1</v>
      </c>
      <c r="E18" s="24">
        <v>7</v>
      </c>
      <c r="F18" s="24">
        <v>5</v>
      </c>
      <c r="G18" s="24">
        <v>8</v>
      </c>
      <c r="H18" s="24">
        <v>9</v>
      </c>
      <c r="I18" s="24">
        <v>11</v>
      </c>
      <c r="J18" s="24">
        <v>7</v>
      </c>
      <c r="K18" s="24">
        <v>5</v>
      </c>
      <c r="L18" s="24">
        <v>7</v>
      </c>
      <c r="M18" s="24">
        <v>17</v>
      </c>
      <c r="N18" s="24">
        <v>16</v>
      </c>
      <c r="O18" s="24">
        <v>12</v>
      </c>
      <c r="P18" s="24">
        <v>14</v>
      </c>
      <c r="Q18" s="24">
        <v>11</v>
      </c>
      <c r="R18" s="24">
        <v>7</v>
      </c>
      <c r="S18" s="24">
        <v>9</v>
      </c>
      <c r="T18" s="24">
        <v>11</v>
      </c>
      <c r="U18" s="24">
        <v>15</v>
      </c>
      <c r="V18" s="24">
        <v>8</v>
      </c>
      <c r="W18" s="24">
        <v>6</v>
      </c>
      <c r="X18" s="24">
        <v>18</v>
      </c>
      <c r="Y18" s="24">
        <v>10</v>
      </c>
      <c r="Z18" s="25">
        <f>SUM(Tabla9[[#This Row],[2002]:[2024]])</f>
        <v>219</v>
      </c>
    </row>
    <row r="19" spans="2:26" x14ac:dyDescent="0.25">
      <c r="B19" s="23" t="s">
        <v>19</v>
      </c>
      <c r="C19" s="24">
        <v>1</v>
      </c>
      <c r="D19" s="24">
        <v>2</v>
      </c>
      <c r="E19" s="24">
        <v>6</v>
      </c>
      <c r="F19" s="24">
        <v>2</v>
      </c>
      <c r="G19" s="24">
        <v>6</v>
      </c>
      <c r="H19" s="24">
        <v>8</v>
      </c>
      <c r="I19" s="24">
        <v>7</v>
      </c>
      <c r="J19" s="24">
        <v>12</v>
      </c>
      <c r="K19" s="24">
        <v>7</v>
      </c>
      <c r="L19" s="24">
        <v>20</v>
      </c>
      <c r="M19" s="24">
        <v>14</v>
      </c>
      <c r="N19" s="24">
        <v>9</v>
      </c>
      <c r="O19" s="24">
        <v>8</v>
      </c>
      <c r="P19" s="24">
        <v>12</v>
      </c>
      <c r="Q19" s="24">
        <v>9</v>
      </c>
      <c r="R19" s="24">
        <v>11</v>
      </c>
      <c r="S19" s="24">
        <v>8</v>
      </c>
      <c r="T19" s="24">
        <v>12</v>
      </c>
      <c r="U19" s="24">
        <v>17</v>
      </c>
      <c r="V19" s="24">
        <v>4</v>
      </c>
      <c r="W19" s="24">
        <v>7</v>
      </c>
      <c r="X19" s="24">
        <v>6</v>
      </c>
      <c r="Y19" s="24">
        <v>8</v>
      </c>
      <c r="Z19" s="25">
        <f>SUM(Tabla9[[#This Row],[2002]:[2024]])</f>
        <v>196</v>
      </c>
    </row>
    <row r="20" spans="2:26" x14ac:dyDescent="0.25">
      <c r="B20" s="23" t="s">
        <v>20</v>
      </c>
      <c r="C20" s="24">
        <v>6</v>
      </c>
      <c r="D20" s="24">
        <v>4</v>
      </c>
      <c r="E20" s="24">
        <v>6</v>
      </c>
      <c r="F20" s="24">
        <v>4</v>
      </c>
      <c r="G20" s="24">
        <v>5</v>
      </c>
      <c r="H20" s="24">
        <v>5</v>
      </c>
      <c r="I20" s="24">
        <v>4</v>
      </c>
      <c r="J20" s="24">
        <v>3</v>
      </c>
      <c r="K20" s="24">
        <v>6</v>
      </c>
      <c r="L20" s="24">
        <v>11</v>
      </c>
      <c r="M20" s="24">
        <v>10</v>
      </c>
      <c r="N20" s="24">
        <v>10</v>
      </c>
      <c r="O20" s="24">
        <v>8</v>
      </c>
      <c r="P20" s="24">
        <v>7</v>
      </c>
      <c r="Q20" s="24">
        <v>3</v>
      </c>
      <c r="R20" s="24">
        <v>4</v>
      </c>
      <c r="S20" s="24">
        <v>3</v>
      </c>
      <c r="T20" s="24">
        <v>9</v>
      </c>
      <c r="U20" s="24">
        <v>8</v>
      </c>
      <c r="V20" s="24">
        <v>20</v>
      </c>
      <c r="W20" s="24">
        <v>12</v>
      </c>
      <c r="X20" s="24">
        <v>14</v>
      </c>
      <c r="Y20" s="24">
        <v>21</v>
      </c>
      <c r="Z20" s="25">
        <f>SUM(Tabla9[[#This Row],[2002]:[2024]])</f>
        <v>183</v>
      </c>
    </row>
    <row r="21" spans="2:26" x14ac:dyDescent="0.25">
      <c r="B21" s="23" t="s">
        <v>21</v>
      </c>
      <c r="C21" s="24">
        <v>1</v>
      </c>
      <c r="D21" s="24">
        <v>4</v>
      </c>
      <c r="E21" s="24">
        <v>8</v>
      </c>
      <c r="F21" s="24">
        <v>3</v>
      </c>
      <c r="G21" s="24">
        <v>2</v>
      </c>
      <c r="H21" s="24">
        <v>4</v>
      </c>
      <c r="I21" s="24">
        <v>10</v>
      </c>
      <c r="J21" s="24">
        <v>5</v>
      </c>
      <c r="K21" s="24">
        <v>2</v>
      </c>
      <c r="L21" s="24">
        <v>7</v>
      </c>
      <c r="M21" s="24">
        <v>5</v>
      </c>
      <c r="N21" s="24">
        <v>4</v>
      </c>
      <c r="O21" s="24">
        <v>6</v>
      </c>
      <c r="P21" s="24">
        <v>4</v>
      </c>
      <c r="Q21" s="24">
        <v>2</v>
      </c>
      <c r="R21" s="24">
        <v>4</v>
      </c>
      <c r="S21" s="24">
        <v>6</v>
      </c>
      <c r="T21" s="24">
        <v>9</v>
      </c>
      <c r="U21" s="24">
        <v>20</v>
      </c>
      <c r="V21" s="24">
        <v>19</v>
      </c>
      <c r="W21" s="24">
        <v>18</v>
      </c>
      <c r="X21" s="24">
        <v>14</v>
      </c>
      <c r="Y21" s="24">
        <v>21</v>
      </c>
      <c r="Z21" s="25">
        <f>SUM(Tabla9[[#This Row],[2002]:[2024]])</f>
        <v>178</v>
      </c>
    </row>
    <row r="22" spans="2:26" x14ac:dyDescent="0.25">
      <c r="B22" s="23" t="s">
        <v>22</v>
      </c>
      <c r="C22" s="24">
        <v>2</v>
      </c>
      <c r="D22" s="24">
        <v>4</v>
      </c>
      <c r="E22" s="24">
        <v>6</v>
      </c>
      <c r="F22" s="24">
        <v>6</v>
      </c>
      <c r="G22" s="24">
        <v>5</v>
      </c>
      <c r="H22" s="24">
        <v>6</v>
      </c>
      <c r="I22" s="24">
        <v>4</v>
      </c>
      <c r="J22" s="24">
        <v>9</v>
      </c>
      <c r="K22" s="24">
        <v>5</v>
      </c>
      <c r="L22" s="24">
        <v>6</v>
      </c>
      <c r="M22" s="24">
        <v>7</v>
      </c>
      <c r="N22" s="24">
        <v>13</v>
      </c>
      <c r="O22" s="24">
        <v>15</v>
      </c>
      <c r="P22" s="24">
        <v>12</v>
      </c>
      <c r="Q22" s="24">
        <v>11</v>
      </c>
      <c r="R22" s="24">
        <v>12</v>
      </c>
      <c r="S22" s="24">
        <v>9</v>
      </c>
      <c r="T22" s="24">
        <v>10</v>
      </c>
      <c r="U22" s="24">
        <v>5</v>
      </c>
      <c r="V22" s="24">
        <v>5</v>
      </c>
      <c r="W22" s="24">
        <v>6</v>
      </c>
      <c r="X22" s="24">
        <v>9</v>
      </c>
      <c r="Y22" s="24">
        <v>9</v>
      </c>
      <c r="Z22" s="25">
        <f>SUM(Tabla9[[#This Row],[2002]:[2024]])</f>
        <v>176</v>
      </c>
    </row>
    <row r="23" spans="2:26" x14ac:dyDescent="0.25">
      <c r="B23" s="23" t="s">
        <v>23</v>
      </c>
      <c r="C23" s="24">
        <v>2</v>
      </c>
      <c r="D23" s="24">
        <v>2</v>
      </c>
      <c r="E23" s="24">
        <v>1</v>
      </c>
      <c r="F23" s="24">
        <v>3</v>
      </c>
      <c r="G23" s="24">
        <v>4</v>
      </c>
      <c r="H23" s="24">
        <v>2</v>
      </c>
      <c r="I23" s="24">
        <v>5</v>
      </c>
      <c r="J23" s="24">
        <v>6</v>
      </c>
      <c r="K23" s="24">
        <v>7</v>
      </c>
      <c r="L23" s="24">
        <v>6</v>
      </c>
      <c r="M23" s="24">
        <v>8</v>
      </c>
      <c r="N23" s="24">
        <v>9</v>
      </c>
      <c r="O23" s="24">
        <v>11</v>
      </c>
      <c r="P23" s="24">
        <v>12</v>
      </c>
      <c r="Q23" s="24">
        <v>11</v>
      </c>
      <c r="R23" s="24">
        <v>12</v>
      </c>
      <c r="S23" s="24">
        <v>14</v>
      </c>
      <c r="T23" s="24">
        <v>6</v>
      </c>
      <c r="U23" s="24">
        <v>7</v>
      </c>
      <c r="V23" s="24">
        <v>12</v>
      </c>
      <c r="W23" s="24">
        <v>12</v>
      </c>
      <c r="X23" s="24">
        <v>8</v>
      </c>
      <c r="Y23" s="24">
        <v>11</v>
      </c>
      <c r="Z23" s="25">
        <f>SUM(Tabla9[[#This Row],[2002]:[2024]])</f>
        <v>171</v>
      </c>
    </row>
    <row r="24" spans="2:26" x14ac:dyDescent="0.25">
      <c r="B24" s="23" t="s">
        <v>24</v>
      </c>
      <c r="C24" s="24">
        <v>1</v>
      </c>
      <c r="D24" s="24">
        <v>3</v>
      </c>
      <c r="E24" s="24">
        <v>4</v>
      </c>
      <c r="F24" s="24">
        <v>3</v>
      </c>
      <c r="G24" s="24">
        <v>3</v>
      </c>
      <c r="H24" s="24">
        <v>5</v>
      </c>
      <c r="I24" s="24">
        <v>3</v>
      </c>
      <c r="J24" s="24">
        <v>4</v>
      </c>
      <c r="K24" s="24">
        <v>7</v>
      </c>
      <c r="L24" s="24">
        <v>7</v>
      </c>
      <c r="M24" s="24">
        <v>7</v>
      </c>
      <c r="N24" s="24">
        <v>4</v>
      </c>
      <c r="O24" s="24">
        <v>2</v>
      </c>
      <c r="P24" s="24">
        <v>8</v>
      </c>
      <c r="Q24" s="24">
        <v>9</v>
      </c>
      <c r="R24" s="24">
        <v>15</v>
      </c>
      <c r="S24" s="24">
        <v>4</v>
      </c>
      <c r="T24" s="24">
        <v>5</v>
      </c>
      <c r="U24" s="24">
        <v>2</v>
      </c>
      <c r="V24" s="24">
        <v>6</v>
      </c>
      <c r="W24" s="24">
        <v>9</v>
      </c>
      <c r="X24" s="24">
        <v>15</v>
      </c>
      <c r="Y24" s="24">
        <v>8</v>
      </c>
      <c r="Z24" s="25">
        <f>SUM(Tabla9[[#This Row],[2002]:[2024]])</f>
        <v>134</v>
      </c>
    </row>
    <row r="25" spans="2:26" x14ac:dyDescent="0.25">
      <c r="B25" s="23" t="s">
        <v>25</v>
      </c>
      <c r="C25" s="26">
        <v>1</v>
      </c>
      <c r="D25" s="26">
        <v>1</v>
      </c>
      <c r="E25" s="26">
        <v>1</v>
      </c>
      <c r="F25" s="26">
        <v>3</v>
      </c>
      <c r="G25" s="26">
        <v>2</v>
      </c>
      <c r="H25" s="26">
        <v>5</v>
      </c>
      <c r="I25" s="26">
        <v>11</v>
      </c>
      <c r="J25" s="26">
        <v>5</v>
      </c>
      <c r="K25" s="26">
        <v>6</v>
      </c>
      <c r="L25" s="26">
        <v>5</v>
      </c>
      <c r="M25" s="26">
        <v>4</v>
      </c>
      <c r="N25" s="26">
        <v>8</v>
      </c>
      <c r="O25" s="26">
        <v>3</v>
      </c>
      <c r="P25" s="26">
        <v>5</v>
      </c>
      <c r="Q25" s="26">
        <v>2</v>
      </c>
      <c r="R25" s="26">
        <v>3</v>
      </c>
      <c r="S25" s="26">
        <v>5</v>
      </c>
      <c r="T25" s="26">
        <v>7</v>
      </c>
      <c r="U25" s="26">
        <v>3</v>
      </c>
      <c r="V25" s="26">
        <v>8</v>
      </c>
      <c r="W25" s="26">
        <v>11</v>
      </c>
      <c r="X25" s="26">
        <v>7</v>
      </c>
      <c r="Y25" s="26">
        <v>11</v>
      </c>
      <c r="Z25" s="25">
        <f>SUM(Tabla9[[#This Row],[2002]:[2024]])</f>
        <v>117</v>
      </c>
    </row>
    <row r="26" spans="2:26" x14ac:dyDescent="0.25">
      <c r="B26" s="23" t="s">
        <v>26</v>
      </c>
      <c r="C26" s="24">
        <v>1</v>
      </c>
      <c r="D26" s="24">
        <v>5</v>
      </c>
      <c r="E26" s="24">
        <v>5</v>
      </c>
      <c r="F26" s="24">
        <v>1</v>
      </c>
      <c r="G26" s="24">
        <v>3</v>
      </c>
      <c r="H26" s="24">
        <v>4</v>
      </c>
      <c r="I26" s="24">
        <v>2</v>
      </c>
      <c r="J26" s="24">
        <v>4</v>
      </c>
      <c r="K26" s="24">
        <v>6</v>
      </c>
      <c r="L26" s="24">
        <v>3</v>
      </c>
      <c r="M26" s="24">
        <v>3</v>
      </c>
      <c r="N26" s="24">
        <v>8</v>
      </c>
      <c r="O26" s="24">
        <v>5</v>
      </c>
      <c r="P26" s="24">
        <v>4</v>
      </c>
      <c r="Q26" s="24">
        <v>10</v>
      </c>
      <c r="R26" s="24">
        <v>6</v>
      </c>
      <c r="S26" s="24">
        <v>9</v>
      </c>
      <c r="T26" s="24">
        <v>1</v>
      </c>
      <c r="U26" s="24">
        <v>3</v>
      </c>
      <c r="V26" s="24">
        <v>1</v>
      </c>
      <c r="W26" s="24">
        <v>4</v>
      </c>
      <c r="X26" s="24">
        <v>3</v>
      </c>
      <c r="Y26" s="24">
        <v>3</v>
      </c>
      <c r="Z26" s="25">
        <f>SUM(Tabla9[[#This Row],[2002]:[2024]])</f>
        <v>94</v>
      </c>
    </row>
    <row r="27" spans="2:26" x14ac:dyDescent="0.25">
      <c r="B27" s="23" t="s">
        <v>27</v>
      </c>
      <c r="C27" s="24">
        <v>2</v>
      </c>
      <c r="D27" s="24" t="s">
        <v>59</v>
      </c>
      <c r="E27" s="24">
        <v>2</v>
      </c>
      <c r="F27" s="24">
        <v>2</v>
      </c>
      <c r="G27" s="24">
        <v>4</v>
      </c>
      <c r="H27" s="24">
        <v>5</v>
      </c>
      <c r="I27" s="24">
        <v>3</v>
      </c>
      <c r="J27" s="24">
        <v>4</v>
      </c>
      <c r="K27" s="24">
        <v>4</v>
      </c>
      <c r="L27" s="24">
        <v>3</v>
      </c>
      <c r="M27" s="24">
        <v>2</v>
      </c>
      <c r="N27" s="24">
        <v>3</v>
      </c>
      <c r="O27" s="24">
        <v>6</v>
      </c>
      <c r="P27" s="24">
        <v>7</v>
      </c>
      <c r="Q27" s="24">
        <v>3</v>
      </c>
      <c r="R27" s="24">
        <v>5</v>
      </c>
      <c r="S27" s="24" t="s">
        <v>59</v>
      </c>
      <c r="T27" s="24">
        <v>5</v>
      </c>
      <c r="U27" s="27">
        <v>2</v>
      </c>
      <c r="V27" s="24">
        <v>6</v>
      </c>
      <c r="W27" s="24">
        <v>6</v>
      </c>
      <c r="X27" s="24">
        <v>6</v>
      </c>
      <c r="Y27" s="24">
        <v>7</v>
      </c>
      <c r="Z27" s="25">
        <f>SUM(Tabla9[[#This Row],[2002]:[2024]])</f>
        <v>87</v>
      </c>
    </row>
    <row r="28" spans="2:26" x14ac:dyDescent="0.25">
      <c r="B28" s="23" t="s">
        <v>28</v>
      </c>
      <c r="C28" s="24">
        <v>2</v>
      </c>
      <c r="D28" s="24">
        <v>14</v>
      </c>
      <c r="E28" s="24">
        <v>2</v>
      </c>
      <c r="F28" s="24">
        <v>1</v>
      </c>
      <c r="G28" s="24">
        <v>2</v>
      </c>
      <c r="H28" s="24">
        <v>5</v>
      </c>
      <c r="I28" s="24">
        <v>2</v>
      </c>
      <c r="J28" s="24">
        <v>3</v>
      </c>
      <c r="K28" s="24">
        <v>7</v>
      </c>
      <c r="L28" s="24">
        <v>4</v>
      </c>
      <c r="M28" s="24">
        <v>5</v>
      </c>
      <c r="N28" s="24">
        <v>2</v>
      </c>
      <c r="O28" s="24">
        <v>4</v>
      </c>
      <c r="P28" s="24">
        <v>17</v>
      </c>
      <c r="Q28" s="24">
        <v>2</v>
      </c>
      <c r="R28" s="24">
        <v>2</v>
      </c>
      <c r="S28" s="24">
        <v>5</v>
      </c>
      <c r="T28" s="24">
        <v>3</v>
      </c>
      <c r="U28" s="24" t="s">
        <v>59</v>
      </c>
      <c r="V28" s="24">
        <v>1</v>
      </c>
      <c r="W28" s="24" t="s">
        <v>59</v>
      </c>
      <c r="X28" s="24" t="s">
        <v>59</v>
      </c>
      <c r="Y28" s="24" t="s">
        <v>59</v>
      </c>
      <c r="Z28" s="25">
        <f>SUM(Tabla9[[#This Row],[2002]:[2024]])</f>
        <v>83</v>
      </c>
    </row>
    <row r="29" spans="2:26" x14ac:dyDescent="0.25">
      <c r="B29" s="23" t="s">
        <v>29</v>
      </c>
      <c r="C29" s="24">
        <v>1</v>
      </c>
      <c r="D29" s="24">
        <v>2</v>
      </c>
      <c r="E29" s="24">
        <v>2</v>
      </c>
      <c r="F29" s="24">
        <v>1</v>
      </c>
      <c r="G29" s="24">
        <v>3</v>
      </c>
      <c r="H29" s="24">
        <v>6</v>
      </c>
      <c r="I29" s="24">
        <v>4</v>
      </c>
      <c r="J29" s="24">
        <v>6</v>
      </c>
      <c r="K29" s="24">
        <v>3</v>
      </c>
      <c r="L29" s="24">
        <v>4</v>
      </c>
      <c r="M29" s="24">
        <v>5</v>
      </c>
      <c r="N29" s="24">
        <v>3</v>
      </c>
      <c r="O29" s="24">
        <v>4</v>
      </c>
      <c r="P29" s="24">
        <v>6</v>
      </c>
      <c r="Q29" s="24">
        <v>2</v>
      </c>
      <c r="R29" s="24">
        <v>3</v>
      </c>
      <c r="S29" s="24">
        <v>2</v>
      </c>
      <c r="T29" s="24">
        <v>2</v>
      </c>
      <c r="U29" s="24">
        <v>9</v>
      </c>
      <c r="V29" s="24">
        <v>1</v>
      </c>
      <c r="W29" s="24">
        <v>4</v>
      </c>
      <c r="X29" s="24">
        <v>4</v>
      </c>
      <c r="Y29" s="24">
        <v>5</v>
      </c>
      <c r="Z29" s="25">
        <f>SUM(Tabla9[[#This Row],[2002]:[2024]])</f>
        <v>82</v>
      </c>
    </row>
    <row r="30" spans="2:26" x14ac:dyDescent="0.25">
      <c r="B30" s="23" t="s">
        <v>30</v>
      </c>
      <c r="C30" s="24">
        <v>3</v>
      </c>
      <c r="D30" s="24">
        <v>2</v>
      </c>
      <c r="E30" s="24">
        <v>1</v>
      </c>
      <c r="F30" s="24">
        <v>2</v>
      </c>
      <c r="G30" s="24">
        <v>3</v>
      </c>
      <c r="H30" s="24">
        <v>2</v>
      </c>
      <c r="I30" s="24">
        <v>4</v>
      </c>
      <c r="J30" s="24">
        <v>3</v>
      </c>
      <c r="K30" s="24">
        <v>2</v>
      </c>
      <c r="L30" s="24">
        <v>3</v>
      </c>
      <c r="M30" s="24">
        <v>3</v>
      </c>
      <c r="N30" s="24">
        <v>8</v>
      </c>
      <c r="O30" s="24">
        <v>4</v>
      </c>
      <c r="P30" s="24">
        <v>6</v>
      </c>
      <c r="Q30" s="24">
        <v>5</v>
      </c>
      <c r="R30" s="24">
        <v>5</v>
      </c>
      <c r="S30" s="24">
        <v>2</v>
      </c>
      <c r="T30" s="24">
        <v>2</v>
      </c>
      <c r="U30" s="24">
        <v>1</v>
      </c>
      <c r="V30" s="27" t="s">
        <v>59</v>
      </c>
      <c r="W30" s="24">
        <v>2</v>
      </c>
      <c r="X30" s="24">
        <v>1</v>
      </c>
      <c r="Y30" s="24" t="s">
        <v>59</v>
      </c>
      <c r="Z30" s="25">
        <f>SUM(Tabla9[[#This Row],[2002]:[2024]])</f>
        <v>64</v>
      </c>
    </row>
    <row r="31" spans="2:26" x14ac:dyDescent="0.25">
      <c r="B31" s="23" t="s">
        <v>31</v>
      </c>
      <c r="C31" s="24">
        <v>2</v>
      </c>
      <c r="D31" s="24">
        <v>2</v>
      </c>
      <c r="E31" s="24">
        <v>1</v>
      </c>
      <c r="F31" s="24">
        <v>2</v>
      </c>
      <c r="G31" s="24">
        <v>2</v>
      </c>
      <c r="H31" s="24">
        <v>2</v>
      </c>
      <c r="I31" s="24">
        <v>2</v>
      </c>
      <c r="J31" s="24">
        <v>4</v>
      </c>
      <c r="K31" s="24">
        <v>3</v>
      </c>
      <c r="L31" s="24">
        <v>2</v>
      </c>
      <c r="M31" s="24">
        <v>6</v>
      </c>
      <c r="N31" s="24">
        <v>4</v>
      </c>
      <c r="O31" s="24">
        <v>2</v>
      </c>
      <c r="P31" s="24">
        <v>3</v>
      </c>
      <c r="Q31" s="24">
        <v>3</v>
      </c>
      <c r="R31" s="24">
        <v>2</v>
      </c>
      <c r="S31" s="24">
        <v>6</v>
      </c>
      <c r="T31" s="24">
        <v>4</v>
      </c>
      <c r="U31" s="24">
        <v>1</v>
      </c>
      <c r="V31" s="24">
        <v>2</v>
      </c>
      <c r="W31" s="24">
        <v>3</v>
      </c>
      <c r="X31" s="24">
        <v>2</v>
      </c>
      <c r="Y31" s="24">
        <v>2</v>
      </c>
      <c r="Z31" s="25">
        <f>SUM(Tabla9[[#This Row],[2002]:[2024]])</f>
        <v>62</v>
      </c>
    </row>
    <row r="32" spans="2:26" x14ac:dyDescent="0.25">
      <c r="B32" s="28" t="s">
        <v>32</v>
      </c>
      <c r="C32" s="24">
        <v>1</v>
      </c>
      <c r="D32" s="24">
        <v>2</v>
      </c>
      <c r="E32" s="24" t="s">
        <v>59</v>
      </c>
      <c r="F32" s="24">
        <v>1</v>
      </c>
      <c r="G32" s="24">
        <v>1</v>
      </c>
      <c r="H32" s="24" t="s">
        <v>59</v>
      </c>
      <c r="I32" s="24" t="s">
        <v>59</v>
      </c>
      <c r="J32" s="24">
        <v>2</v>
      </c>
      <c r="K32" s="24">
        <v>1</v>
      </c>
      <c r="L32" s="24" t="s">
        <v>59</v>
      </c>
      <c r="M32" s="24">
        <v>1</v>
      </c>
      <c r="N32" s="24">
        <v>1</v>
      </c>
      <c r="O32" s="24">
        <v>1</v>
      </c>
      <c r="P32" s="24" t="s">
        <v>59</v>
      </c>
      <c r="Q32" s="24">
        <v>1</v>
      </c>
      <c r="R32" s="24">
        <v>1</v>
      </c>
      <c r="S32" s="24">
        <v>2</v>
      </c>
      <c r="T32" s="24">
        <v>2</v>
      </c>
      <c r="U32" s="24">
        <v>2</v>
      </c>
      <c r="V32" s="24" t="s">
        <v>59</v>
      </c>
      <c r="W32" s="24" t="s">
        <v>59</v>
      </c>
      <c r="X32" s="24" t="s">
        <v>59</v>
      </c>
      <c r="Y32" s="24" t="s">
        <v>59</v>
      </c>
      <c r="Z32" s="25">
        <f>SUM(Tabla9[[#This Row],[2002]:[2024]])</f>
        <v>19</v>
      </c>
    </row>
    <row r="33" spans="2:26" x14ac:dyDescent="0.25">
      <c r="B33" s="28" t="s">
        <v>33</v>
      </c>
      <c r="C33" s="24" t="s">
        <v>59</v>
      </c>
      <c r="D33" s="24">
        <v>1</v>
      </c>
      <c r="E33" s="24" t="s">
        <v>59</v>
      </c>
      <c r="F33" s="24" t="s">
        <v>59</v>
      </c>
      <c r="G33" s="24" t="s">
        <v>59</v>
      </c>
      <c r="H33" s="24" t="s">
        <v>59</v>
      </c>
      <c r="I33" s="24" t="s">
        <v>59</v>
      </c>
      <c r="J33" s="24" t="s">
        <v>59</v>
      </c>
      <c r="K33" s="24" t="s">
        <v>59</v>
      </c>
      <c r="L33" s="24" t="s">
        <v>59</v>
      </c>
      <c r="M33" s="24" t="s">
        <v>59</v>
      </c>
      <c r="N33" s="24" t="s">
        <v>59</v>
      </c>
      <c r="O33" s="24" t="s">
        <v>59</v>
      </c>
      <c r="P33" s="24" t="s">
        <v>59</v>
      </c>
      <c r="Q33" s="24" t="s">
        <v>59</v>
      </c>
      <c r="R33" s="24" t="s">
        <v>59</v>
      </c>
      <c r="S33" s="24" t="s">
        <v>59</v>
      </c>
      <c r="T33" s="24" t="s">
        <v>59</v>
      </c>
      <c r="U33" s="24" t="s">
        <v>59</v>
      </c>
      <c r="V33" s="24" t="s">
        <v>59</v>
      </c>
      <c r="W33" s="24" t="s">
        <v>59</v>
      </c>
      <c r="X33" s="24" t="s">
        <v>59</v>
      </c>
      <c r="Y33" s="24" t="s">
        <v>59</v>
      </c>
      <c r="Z33" s="25">
        <f>SUM(Tabla9[[#This Row],[2002]:[2024]])</f>
        <v>1</v>
      </c>
    </row>
    <row r="34" spans="2:26" x14ac:dyDescent="0.25">
      <c r="B34" s="29" t="s">
        <v>34</v>
      </c>
      <c r="C34" s="30">
        <f ca="1">SUBTOTAL(109,Tabla9[2002])</f>
        <v>335</v>
      </c>
      <c r="D34" s="30">
        <f ca="1">SUBTOTAL(109,Tabla9[2003])</f>
        <v>338</v>
      </c>
      <c r="E34" s="30">
        <f ca="1">SUBTOTAL(109,Tabla9[2004])</f>
        <v>424</v>
      </c>
      <c r="F34" s="30">
        <f ca="1">SUBTOTAL(109,Tabla9[2005])</f>
        <v>628</v>
      </c>
      <c r="G34" s="30">
        <f ca="1">SUBTOTAL(109,Tabla9[2006])</f>
        <v>754</v>
      </c>
      <c r="H34" s="30">
        <f ca="1">SUBTOTAL(109,Tabla9[2007])</f>
        <v>962</v>
      </c>
      <c r="I34" s="30">
        <f ca="1">SUBTOTAL(109,Tabla9[2008])</f>
        <v>987</v>
      </c>
      <c r="J34" s="30">
        <f ca="1">SUBTOTAL(109,Tabla9[2009])</f>
        <v>945</v>
      </c>
      <c r="K34" s="30">
        <f ca="1">SUBTOTAL(109,Tabla9[2010])</f>
        <v>1031</v>
      </c>
      <c r="L34" s="30">
        <f ca="1">SUBTOTAL(109,Tabla9[2011])</f>
        <v>1111</v>
      </c>
      <c r="M34" s="30">
        <f ca="1">SUBTOTAL(109,Tabla9[2012])</f>
        <v>1174</v>
      </c>
      <c r="N34" s="30">
        <f ca="1">SUBTOTAL(109,Tabla9[2013])</f>
        <v>1413</v>
      </c>
      <c r="O34" s="30">
        <f ca="1">SUBTOTAL(109,Tabla9[2014])</f>
        <v>1665</v>
      </c>
      <c r="P34" s="30">
        <f ca="1">SUBTOTAL(109,Tabla9[2015])</f>
        <v>1655</v>
      </c>
      <c r="Q34" s="30">
        <f ca="1">SUBTOTAL(109,Tabla9[2016])</f>
        <v>1873</v>
      </c>
      <c r="R34" s="30">
        <f ca="1">SUBTOTAL(109,Tabla9[2017])</f>
        <v>1676</v>
      </c>
      <c r="S34" s="30">
        <f ca="1">SUBTOTAL(109,Tabla9[2018])</f>
        <v>1814</v>
      </c>
      <c r="T34" s="30">
        <f ca="1">SUBTOTAL(109,Tabla9[2019])</f>
        <v>1361</v>
      </c>
      <c r="U34" s="30">
        <f ca="1">SUBTOTAL(109,Tabla9[2020])</f>
        <v>1617</v>
      </c>
      <c r="V34" s="30">
        <f ca="1">SUBTOTAL(109,Tabla9[2021])</f>
        <v>2051</v>
      </c>
      <c r="W34" s="30">
        <f ca="1">SUBTOTAL(109,Tabla9[2022])</f>
        <v>2153</v>
      </c>
      <c r="X34" s="30">
        <f ca="1">SUBTOTAL(109,Tabla9[2023])</f>
        <v>2369</v>
      </c>
      <c r="Y34" s="30">
        <f ca="1">SUBTOTAL(109,Tabla9[2024])</f>
        <v>152</v>
      </c>
      <c r="Z34" s="30">
        <f>SUM(Z4:Z33)</f>
        <v>30600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6C38-3EF8-468B-819A-A02A5C1EA053}">
  <dimension ref="B3:I27"/>
  <sheetViews>
    <sheetView workbookViewId="0">
      <selection activeCell="B3" sqref="B3:I27"/>
    </sheetView>
  </sheetViews>
  <sheetFormatPr baseColWidth="10" defaultRowHeight="15" x14ac:dyDescent="0.25"/>
  <sheetData>
    <row r="3" spans="2:9" ht="45" x14ac:dyDescent="0.25">
      <c r="B3" s="31" t="s">
        <v>60</v>
      </c>
      <c r="C3" s="32" t="s">
        <v>61</v>
      </c>
      <c r="D3" s="32" t="s">
        <v>62</v>
      </c>
      <c r="E3" s="32" t="s">
        <v>63</v>
      </c>
      <c r="F3" s="32" t="s">
        <v>64</v>
      </c>
      <c r="G3" s="32" t="s">
        <v>65</v>
      </c>
      <c r="H3" s="32" t="s">
        <v>66</v>
      </c>
      <c r="I3" s="33" t="s">
        <v>67</v>
      </c>
    </row>
    <row r="4" spans="2:9" x14ac:dyDescent="0.25">
      <c r="B4" s="34" t="s">
        <v>36</v>
      </c>
      <c r="C4" s="35">
        <v>335</v>
      </c>
      <c r="D4" s="36">
        <v>2584</v>
      </c>
      <c r="E4" s="37">
        <f>Tabla10[[#This Row],[Observaciones]]/Tabla10[[#This Row],[Auditorías]]</f>
        <v>7.7134328358208952</v>
      </c>
      <c r="F4" s="38">
        <v>2505</v>
      </c>
      <c r="G4" s="39">
        <f>Tabla10[[#This Row],[Recomendaciones]]/Tabla10[[#This Row],[Auditorías]]</f>
        <v>7.4776119402985071</v>
      </c>
      <c r="H4" s="40">
        <v>1407</v>
      </c>
      <c r="I4" s="41">
        <f>Tabla10[[#This Row],[Acciones]]/Tabla10[[#This Row],[Auditorías]]</f>
        <v>4.2</v>
      </c>
    </row>
    <row r="5" spans="2:9" x14ac:dyDescent="0.25">
      <c r="B5" s="34" t="s">
        <v>37</v>
      </c>
      <c r="C5" s="35">
        <v>338</v>
      </c>
      <c r="D5" s="36">
        <v>2644</v>
      </c>
      <c r="E5" s="37">
        <f>Tabla10[[#This Row],[Observaciones]]/Tabla10[[#This Row],[Auditorías]]</f>
        <v>7.8224852071005921</v>
      </c>
      <c r="F5" s="42">
        <v>2295</v>
      </c>
      <c r="G5" s="39">
        <f>Tabla10[[#This Row],[Recomendaciones]]/Tabla10[[#This Row],[Auditorías]]</f>
        <v>6.7899408284023668</v>
      </c>
      <c r="H5" s="43">
        <v>1589</v>
      </c>
      <c r="I5" s="41">
        <f>Tabla10[[#This Row],[Acciones]]/Tabla10[[#This Row],[Auditorías]]</f>
        <v>4.7011834319526624</v>
      </c>
    </row>
    <row r="6" spans="2:9" x14ac:dyDescent="0.25">
      <c r="B6" s="34" t="s">
        <v>38</v>
      </c>
      <c r="C6" s="35">
        <v>424</v>
      </c>
      <c r="D6" s="36">
        <v>3424</v>
      </c>
      <c r="E6" s="37">
        <f>Tabla10[[#This Row],[Observaciones]]/Tabla10[[#This Row],[Auditorías]]</f>
        <v>8.0754716981132084</v>
      </c>
      <c r="F6" s="42">
        <v>3064</v>
      </c>
      <c r="G6" s="39">
        <f>Tabla10[[#This Row],[Recomendaciones]]/Tabla10[[#This Row],[Auditorías]]</f>
        <v>7.2264150943396226</v>
      </c>
      <c r="H6" s="43">
        <v>1071</v>
      </c>
      <c r="I6" s="41">
        <f>Tabla10[[#This Row],[Acciones]]/Tabla10[[#This Row],[Auditorías]]</f>
        <v>2.5259433962264151</v>
      </c>
    </row>
    <row r="7" spans="2:9" x14ac:dyDescent="0.25">
      <c r="B7" s="34" t="s">
        <v>39</v>
      </c>
      <c r="C7" s="35">
        <v>628</v>
      </c>
      <c r="D7" s="36">
        <v>4519</v>
      </c>
      <c r="E7" s="37">
        <f>Tabla10[[#This Row],[Observaciones]]/Tabla10[[#This Row],[Auditorías]]</f>
        <v>7.1958598726114653</v>
      </c>
      <c r="F7" s="42">
        <v>4269</v>
      </c>
      <c r="G7" s="39">
        <f>Tabla10[[#This Row],[Recomendaciones]]/Tabla10[[#This Row],[Auditorías]]</f>
        <v>6.797770700636943</v>
      </c>
      <c r="H7" s="43">
        <v>1067</v>
      </c>
      <c r="I7" s="41">
        <f>Tabla10[[#This Row],[Acciones]]/Tabla10[[#This Row],[Auditorías]]</f>
        <v>1.6990445859872612</v>
      </c>
    </row>
    <row r="8" spans="2:9" x14ac:dyDescent="0.25">
      <c r="B8" s="34" t="s">
        <v>40</v>
      </c>
      <c r="C8" s="35">
        <v>754</v>
      </c>
      <c r="D8" s="36">
        <v>7182</v>
      </c>
      <c r="E8" s="37">
        <f>Tabla10[[#This Row],[Observaciones]]/Tabla10[[#This Row],[Auditorías]]</f>
        <v>9.5251989389920428</v>
      </c>
      <c r="F8" s="42">
        <v>6684</v>
      </c>
      <c r="G8" s="39">
        <f>Tabla10[[#This Row],[Recomendaciones]]/Tabla10[[#This Row],[Auditorías]]</f>
        <v>8.86472148541114</v>
      </c>
      <c r="H8" s="43">
        <v>1826</v>
      </c>
      <c r="I8" s="41">
        <f>Tabla10[[#This Row],[Acciones]]/Tabla10[[#This Row],[Auditorías]]</f>
        <v>2.4217506631299734</v>
      </c>
    </row>
    <row r="9" spans="2:9" x14ac:dyDescent="0.25">
      <c r="B9" s="34" t="s">
        <v>41</v>
      </c>
      <c r="C9" s="35">
        <v>962</v>
      </c>
      <c r="D9" s="36">
        <v>9553</v>
      </c>
      <c r="E9" s="37">
        <f>Tabla10[[#This Row],[Observaciones]]/Tabla10[[#This Row],[Auditorías]]</f>
        <v>9.9303534303534295</v>
      </c>
      <c r="F9" s="42">
        <v>7620</v>
      </c>
      <c r="G9" s="39">
        <f>Tabla10[[#This Row],[Recomendaciones]]/Tabla10[[#This Row],[Auditorías]]</f>
        <v>7.9209979209979213</v>
      </c>
      <c r="H9" s="43">
        <v>3564</v>
      </c>
      <c r="I9" s="41">
        <f>Tabla10[[#This Row],[Acciones]]/Tabla10[[#This Row],[Auditorías]]</f>
        <v>3.7047817047817047</v>
      </c>
    </row>
    <row r="10" spans="2:9" x14ac:dyDescent="0.25">
      <c r="B10" s="34" t="s">
        <v>42</v>
      </c>
      <c r="C10" s="35">
        <v>987</v>
      </c>
      <c r="D10" s="36">
        <v>7746</v>
      </c>
      <c r="E10" s="37">
        <f>Tabla10[[#This Row],[Observaciones]]/Tabla10[[#This Row],[Auditorías]]</f>
        <v>7.8480243161094227</v>
      </c>
      <c r="F10" s="42">
        <v>6296</v>
      </c>
      <c r="G10" s="39">
        <f>Tabla10[[#This Row],[Recomendaciones]]/Tabla10[[#This Row],[Auditorías]]</f>
        <v>6.3789260385005067</v>
      </c>
      <c r="H10" s="43">
        <v>2738</v>
      </c>
      <c r="I10" s="41">
        <f>Tabla10[[#This Row],[Acciones]]/Tabla10[[#This Row],[Auditorías]]</f>
        <v>2.774062816616008</v>
      </c>
    </row>
    <row r="11" spans="2:9" x14ac:dyDescent="0.25">
      <c r="B11" s="34" t="s">
        <v>43</v>
      </c>
      <c r="C11" s="35">
        <v>945</v>
      </c>
      <c r="D11" s="36">
        <v>19196</v>
      </c>
      <c r="E11" s="37">
        <f>Tabla10[[#This Row],[Observaciones]]/Tabla10[[#This Row],[Auditorías]]</f>
        <v>20.313227513227513</v>
      </c>
      <c r="F11" s="42">
        <v>5909</v>
      </c>
      <c r="G11" s="39">
        <f>Tabla10[[#This Row],[Recomendaciones]]/Tabla10[[#This Row],[Auditorías]]</f>
        <v>6.2529100529100532</v>
      </c>
      <c r="H11" s="43">
        <v>3056</v>
      </c>
      <c r="I11" s="41">
        <f>Tabla10[[#This Row],[Acciones]]/Tabla10[[#This Row],[Auditorías]]</f>
        <v>3.2338624338624338</v>
      </c>
    </row>
    <row r="12" spans="2:9" x14ac:dyDescent="0.25">
      <c r="B12" s="34" t="s">
        <v>44</v>
      </c>
      <c r="C12" s="35">
        <v>1031</v>
      </c>
      <c r="D12" s="36">
        <v>23343</v>
      </c>
      <c r="E12" s="37">
        <f>Tabla10[[#This Row],[Observaciones]]/Tabla10[[#This Row],[Auditorías]]</f>
        <v>22.641125121241512</v>
      </c>
      <c r="F12" s="42">
        <v>6935</v>
      </c>
      <c r="G12" s="39">
        <f>Tabla10[[#This Row],[Recomendaciones]]/Tabla10[[#This Row],[Auditorías]]</f>
        <v>6.7264791464597478</v>
      </c>
      <c r="H12" s="43">
        <v>4201</v>
      </c>
      <c r="I12" s="41">
        <f>Tabla10[[#This Row],[Acciones]]/Tabla10[[#This Row],[Auditorías]]</f>
        <v>4.0746847720659556</v>
      </c>
    </row>
    <row r="13" spans="2:9" x14ac:dyDescent="0.25">
      <c r="B13" s="34" t="s">
        <v>45</v>
      </c>
      <c r="C13" s="35">
        <v>1111</v>
      </c>
      <c r="D13" s="36">
        <v>22390</v>
      </c>
      <c r="E13" s="37">
        <f>Tabla10[[#This Row],[Observaciones]]/Tabla10[[#This Row],[Auditorías]]</f>
        <v>20.153015301530154</v>
      </c>
      <c r="F13" s="42">
        <v>6369</v>
      </c>
      <c r="G13" s="39">
        <f>Tabla10[[#This Row],[Recomendaciones]]/Tabla10[[#This Row],[Auditorías]]</f>
        <v>5.7326732673267324</v>
      </c>
      <c r="H13" s="43">
        <v>3791</v>
      </c>
      <c r="I13" s="41">
        <f>Tabla10[[#This Row],[Acciones]]/Tabla10[[#This Row],[Auditorías]]</f>
        <v>3.412241224122412</v>
      </c>
    </row>
    <row r="14" spans="2:9" x14ac:dyDescent="0.25">
      <c r="B14" s="34" t="s">
        <v>46</v>
      </c>
      <c r="C14" s="35">
        <v>1174</v>
      </c>
      <c r="D14" s="36">
        <v>22964</v>
      </c>
      <c r="E14" s="37">
        <f>Tabla10[[#This Row],[Observaciones]]/Tabla10[[#This Row],[Auditorías]]</f>
        <v>19.560477001703578</v>
      </c>
      <c r="F14" s="42">
        <v>6564</v>
      </c>
      <c r="G14" s="39">
        <f>Tabla10[[#This Row],[Recomendaciones]]/Tabla10[[#This Row],[Auditorías]]</f>
        <v>5.5911413969335602</v>
      </c>
      <c r="H14" s="43">
        <v>4882</v>
      </c>
      <c r="I14" s="41">
        <f>Tabla10[[#This Row],[Acciones]]/Tabla10[[#This Row],[Auditorías]]</f>
        <v>4.1584327086882453</v>
      </c>
    </row>
    <row r="15" spans="2:9" x14ac:dyDescent="0.25">
      <c r="B15" s="34" t="s">
        <v>47</v>
      </c>
      <c r="C15" s="35">
        <v>1413</v>
      </c>
      <c r="D15" s="36">
        <v>23581</v>
      </c>
      <c r="E15" s="37">
        <f>Tabla10[[#This Row],[Observaciones]]/Tabla10[[#This Row],[Auditorías]]</f>
        <v>16.688605803255484</v>
      </c>
      <c r="F15" s="42">
        <v>6902</v>
      </c>
      <c r="G15" s="39">
        <f>Tabla10[[#This Row],[Recomendaciones]]/Tabla10[[#This Row],[Auditorías]]</f>
        <v>4.8846426043878273</v>
      </c>
      <c r="H15" s="43">
        <v>4867</v>
      </c>
      <c r="I15" s="41">
        <f>Tabla10[[#This Row],[Acciones]]/Tabla10[[#This Row],[Auditorías]]</f>
        <v>3.4444444444444446</v>
      </c>
    </row>
    <row r="16" spans="2:9" x14ac:dyDescent="0.25">
      <c r="B16" s="34" t="s">
        <v>48</v>
      </c>
      <c r="C16" s="35">
        <v>1665</v>
      </c>
      <c r="D16" s="36">
        <v>26280</v>
      </c>
      <c r="E16" s="37">
        <f>Tabla10[[#This Row],[Observaciones]]/Tabla10[[#This Row],[Auditorías]]</f>
        <v>15.783783783783784</v>
      </c>
      <c r="F16" s="42">
        <v>3366</v>
      </c>
      <c r="G16" s="39">
        <f>Tabla10[[#This Row],[Recomendaciones]]/Tabla10[[#This Row],[Auditorías]]</f>
        <v>2.0216216216216214</v>
      </c>
      <c r="H16" s="43">
        <v>6443</v>
      </c>
      <c r="I16" s="41">
        <f>Tabla10[[#This Row],[Acciones]]/Tabla10[[#This Row],[Auditorías]]</f>
        <v>3.8696696696696695</v>
      </c>
    </row>
    <row r="17" spans="2:9" x14ac:dyDescent="0.25">
      <c r="B17" s="34" t="s">
        <v>49</v>
      </c>
      <c r="C17" s="35">
        <v>1655</v>
      </c>
      <c r="D17" s="36">
        <v>26330</v>
      </c>
      <c r="E17" s="37">
        <f>Tabla10[[#This Row],[Observaciones]]/Tabla10[[#This Row],[Auditorías]]</f>
        <v>15.909365558912386</v>
      </c>
      <c r="F17" s="42">
        <v>3979</v>
      </c>
      <c r="G17" s="39">
        <f>Tabla10[[#This Row],[Recomendaciones]]/Tabla10[[#This Row],[Auditorías]]</f>
        <v>2.4042296072507554</v>
      </c>
      <c r="H17" s="43">
        <v>7026</v>
      </c>
      <c r="I17" s="41">
        <f>Tabla10[[#This Row],[Acciones]]/Tabla10[[#This Row],[Auditorías]]</f>
        <v>4.2453172205438063</v>
      </c>
    </row>
    <row r="18" spans="2:9" x14ac:dyDescent="0.25">
      <c r="B18" s="34" t="s">
        <v>50</v>
      </c>
      <c r="C18" s="35">
        <v>1873</v>
      </c>
      <c r="D18" s="36">
        <v>26799</v>
      </c>
      <c r="E18" s="37">
        <f>Tabla10[[#This Row],[Observaciones]]/Tabla10[[#This Row],[Auditorías]]</f>
        <v>14.308061932728243</v>
      </c>
      <c r="F18" s="42">
        <v>4453</v>
      </c>
      <c r="G18" s="39">
        <f>Tabla10[[#This Row],[Recomendaciones]]/Tabla10[[#This Row],[Auditorías]]</f>
        <v>2.3774693005872933</v>
      </c>
      <c r="H18" s="43">
        <v>6210</v>
      </c>
      <c r="I18" s="41">
        <f>Tabla10[[#This Row],[Acciones]]/Tabla10[[#This Row],[Auditorías]]</f>
        <v>3.3155365723438335</v>
      </c>
    </row>
    <row r="19" spans="2:9" x14ac:dyDescent="0.25">
      <c r="B19" s="34" t="s">
        <v>51</v>
      </c>
      <c r="C19" s="35">
        <v>1676</v>
      </c>
      <c r="D19" s="36">
        <v>26154</v>
      </c>
      <c r="E19" s="37">
        <f>Tabla10[[#This Row],[Observaciones]]/Tabla10[[#This Row],[Auditorías]]</f>
        <v>15.605011933174225</v>
      </c>
      <c r="F19" s="42">
        <v>4446</v>
      </c>
      <c r="G19" s="39">
        <f>Tabla10[[#This Row],[Recomendaciones]]/Tabla10[[#This Row],[Auditorías]]</f>
        <v>2.6527446300715991</v>
      </c>
      <c r="H19" s="43">
        <v>5197</v>
      </c>
      <c r="I19" s="41">
        <f>Tabla10[[#This Row],[Acciones]]/Tabla10[[#This Row],[Auditorías]]</f>
        <v>3.1008353221957039</v>
      </c>
    </row>
    <row r="20" spans="2:9" x14ac:dyDescent="0.25">
      <c r="B20" s="34" t="s">
        <v>52</v>
      </c>
      <c r="C20" s="35">
        <v>1814</v>
      </c>
      <c r="D20" s="36">
        <v>28070</v>
      </c>
      <c r="E20" s="37">
        <f>Tabla10[[#This Row],[Observaciones]]/Tabla10[[#This Row],[Auditorías]]</f>
        <v>15.474090407938258</v>
      </c>
      <c r="F20" s="42">
        <v>5013</v>
      </c>
      <c r="G20" s="39">
        <f>Tabla10[[#This Row],[Recomendaciones]]/Tabla10[[#This Row],[Auditorías]]</f>
        <v>2.7635060639470783</v>
      </c>
      <c r="H20" s="43">
        <v>5372</v>
      </c>
      <c r="I20" s="41">
        <f>Tabla10[[#This Row],[Acciones]]/Tabla10[[#This Row],[Auditorías]]</f>
        <v>2.9614112458654906</v>
      </c>
    </row>
    <row r="21" spans="2:9" x14ac:dyDescent="0.25">
      <c r="B21" s="34" t="s">
        <v>53</v>
      </c>
      <c r="C21" s="35">
        <v>1361</v>
      </c>
      <c r="D21" s="36">
        <v>21181</v>
      </c>
      <c r="E21" s="37">
        <f>Tabla10[[#This Row],[Observaciones]]/Tabla10[[#This Row],[Auditorías]]</f>
        <v>15.562821454812637</v>
      </c>
      <c r="F21" s="42">
        <v>3763</v>
      </c>
      <c r="G21" s="39">
        <f>Tabla10[[#This Row],[Recomendaciones]]/Tabla10[[#This Row],[Auditorías]]</f>
        <v>2.7648787656135196</v>
      </c>
      <c r="H21" s="43">
        <v>3525</v>
      </c>
      <c r="I21" s="41">
        <f>Tabla10[[#This Row],[Acciones]]/Tabla10[[#This Row],[Auditorías]]</f>
        <v>2.5900073475385748</v>
      </c>
    </row>
    <row r="22" spans="2:9" x14ac:dyDescent="0.25">
      <c r="B22" s="34" t="s">
        <v>54</v>
      </c>
      <c r="C22" s="35">
        <v>1617</v>
      </c>
      <c r="D22" s="36">
        <v>24288</v>
      </c>
      <c r="E22" s="37">
        <f>Tabla10[[#This Row],[Observaciones]]/Tabla10[[#This Row],[Auditorías]]</f>
        <v>15.020408163265307</v>
      </c>
      <c r="F22" s="42">
        <v>2444</v>
      </c>
      <c r="G22" s="39">
        <f>Tabla10[[#This Row],[Recomendaciones]]/Tabla10[[#This Row],[Auditorías]]</f>
        <v>1.5114409400123685</v>
      </c>
      <c r="H22" s="43">
        <v>3144</v>
      </c>
      <c r="I22" s="41">
        <f>Tabla10[[#This Row],[Acciones]]/Tabla10[[#This Row],[Auditorías]]</f>
        <v>1.9443413729128014</v>
      </c>
    </row>
    <row r="23" spans="2:9" x14ac:dyDescent="0.25">
      <c r="B23" s="34" t="s">
        <v>55</v>
      </c>
      <c r="C23" s="35">
        <v>2051</v>
      </c>
      <c r="D23" s="36">
        <v>26802</v>
      </c>
      <c r="E23" s="37">
        <f>Tabla10[[#This Row],[Observaciones]]/Tabla10[[#This Row],[Auditorías]]</f>
        <v>13.067771818625062</v>
      </c>
      <c r="F23" s="44">
        <v>2317</v>
      </c>
      <c r="G23" s="39">
        <f>Tabla10[[#This Row],[Recomendaciones]]/Tabla10[[#This Row],[Auditorías]]</f>
        <v>1.1296928327645051</v>
      </c>
      <c r="H23" s="45">
        <v>3329</v>
      </c>
      <c r="I23" s="41">
        <f>Tabla10[[#This Row],[Acciones]]/Tabla10[[#This Row],[Auditorías]]</f>
        <v>1.6231106777181863</v>
      </c>
    </row>
    <row r="24" spans="2:9" x14ac:dyDescent="0.25">
      <c r="B24" s="34" t="s">
        <v>56</v>
      </c>
      <c r="C24" s="35">
        <v>2153</v>
      </c>
      <c r="D24" s="36">
        <v>25605</v>
      </c>
      <c r="E24" s="37">
        <f>Tabla10[[#This Row],[Observaciones]]/Tabla10[[#This Row],[Auditorías]]</f>
        <v>11.892707849512309</v>
      </c>
      <c r="F24" s="42">
        <v>1836</v>
      </c>
      <c r="G24" s="39">
        <f>Tabla10[[#This Row],[Recomendaciones]]/Tabla10[[#This Row],[Auditorías]]</f>
        <v>0.85276358569437993</v>
      </c>
      <c r="H24" s="43">
        <v>3713</v>
      </c>
      <c r="I24" s="41">
        <f>Tabla10[[#This Row],[Acciones]]/Tabla10[[#This Row],[Auditorías]]</f>
        <v>1.7245703669298653</v>
      </c>
    </row>
    <row r="25" spans="2:9" x14ac:dyDescent="0.25">
      <c r="B25" s="34" t="s">
        <v>57</v>
      </c>
      <c r="C25" s="46">
        <v>2369</v>
      </c>
      <c r="D25" s="36">
        <v>24603</v>
      </c>
      <c r="E25" s="37">
        <f>Tabla10[[#This Row],[Observaciones]]/Tabla10[[#This Row],[Auditorías]]</f>
        <v>10.385394681300127</v>
      </c>
      <c r="F25" s="42">
        <v>1385</v>
      </c>
      <c r="G25" s="39">
        <f>Tabla10[[#This Row],[Recomendaciones]]/Tabla10[[#This Row],[Auditorías]]</f>
        <v>0.58463486703250311</v>
      </c>
      <c r="H25" s="43">
        <v>5717</v>
      </c>
      <c r="I25" s="41">
        <f>Tabla10[[#This Row],[Acciones]]/Tabla10[[#This Row],[Auditorías]]</f>
        <v>2.4132545377796539</v>
      </c>
    </row>
    <row r="26" spans="2:9" x14ac:dyDescent="0.25">
      <c r="B26" s="34" t="s">
        <v>58</v>
      </c>
      <c r="C26" s="46">
        <v>2264</v>
      </c>
      <c r="D26" s="36">
        <v>22267</v>
      </c>
      <c r="E26" s="37">
        <f>Tabla10[[#This Row],[Observaciones]]/Tabla10[[#This Row],[Auditorías]]</f>
        <v>9.8352473498233213</v>
      </c>
      <c r="F26" s="37">
        <v>857</v>
      </c>
      <c r="G26" s="39">
        <f>Tabla10[[#This Row],[Recomendaciones]]/Tabla10[[#This Row],[Auditorías]]</f>
        <v>0.37853356890459366</v>
      </c>
      <c r="H26" s="35">
        <v>5417</v>
      </c>
      <c r="I26" s="41">
        <f>Tabla10[[#This Row],[Acciones]]/Tabla10[[#This Row],[Auditorías]]</f>
        <v>2.3926678445229683</v>
      </c>
    </row>
    <row r="27" spans="2:9" x14ac:dyDescent="0.25">
      <c r="B27" s="47" t="s">
        <v>34</v>
      </c>
      <c r="C27" s="48">
        <f>SUBTOTAL(109,C4:C26)</f>
        <v>30600</v>
      </c>
      <c r="D27" s="49">
        <f>SUBTOTAL(109,D4:D26)</f>
        <v>427505</v>
      </c>
      <c r="E27" s="50">
        <f>Tabla10[[#This Row],[Observaciones]]/Tabla10[[#This Row],[Auditorías]]</f>
        <v>13.970751633986929</v>
      </c>
      <c r="F27" s="51">
        <f>SUBTOTAL(109,F4:F26)</f>
        <v>99271</v>
      </c>
      <c r="G27" s="52">
        <f>Tabla10[[#This Row],[Recomendaciones]]/Tabla10[[#This Row],[Auditorías]]</f>
        <v>3.2441503267973855</v>
      </c>
      <c r="H27" s="48">
        <f>SUBTOTAL(109,H4:H26)</f>
        <v>89152</v>
      </c>
      <c r="I27" s="53">
        <f>Tabla10[[#This Row],[Acciones]]/Tabla10[[#This Row],[Auditorías]]</f>
        <v>2.9134640522875817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C1EC-3559-4453-9753-C66782B70166}">
  <dimension ref="B2:Z6"/>
  <sheetViews>
    <sheetView workbookViewId="0">
      <selection activeCell="B2" sqref="B2:Z6"/>
    </sheetView>
  </sheetViews>
  <sheetFormatPr baseColWidth="10" defaultRowHeight="15" x14ac:dyDescent="0.25"/>
  <cols>
    <col min="2" max="2" width="20" customWidth="1"/>
  </cols>
  <sheetData>
    <row r="2" spans="2:26" x14ac:dyDescent="0.25">
      <c r="B2" s="54" t="s">
        <v>68</v>
      </c>
      <c r="C2" s="55" t="s">
        <v>35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7" t="s">
        <v>34</v>
      </c>
    </row>
    <row r="3" spans="2:26" x14ac:dyDescent="0.25">
      <c r="B3" s="54"/>
      <c r="C3" s="58" t="s">
        <v>36</v>
      </c>
      <c r="D3" s="59" t="s">
        <v>37</v>
      </c>
      <c r="E3" s="59" t="s">
        <v>38</v>
      </c>
      <c r="F3" s="59" t="s">
        <v>39</v>
      </c>
      <c r="G3" s="59" t="s">
        <v>40</v>
      </c>
      <c r="H3" s="59" t="s">
        <v>41</v>
      </c>
      <c r="I3" s="59" t="s">
        <v>42</v>
      </c>
      <c r="J3" s="59" t="s">
        <v>43</v>
      </c>
      <c r="K3" s="59" t="s">
        <v>44</v>
      </c>
      <c r="L3" s="59" t="s">
        <v>45</v>
      </c>
      <c r="M3" s="59" t="s">
        <v>46</v>
      </c>
      <c r="N3" s="59" t="s">
        <v>47</v>
      </c>
      <c r="O3" s="59" t="s">
        <v>48</v>
      </c>
      <c r="P3" s="59" t="s">
        <v>49</v>
      </c>
      <c r="Q3" s="59" t="s">
        <v>50</v>
      </c>
      <c r="R3" s="59" t="s">
        <v>51</v>
      </c>
      <c r="S3" s="59" t="s">
        <v>52</v>
      </c>
      <c r="T3" s="59" t="s">
        <v>53</v>
      </c>
      <c r="U3" s="59" t="s">
        <v>54</v>
      </c>
      <c r="V3" s="60" t="s">
        <v>55</v>
      </c>
      <c r="W3" s="59" t="s">
        <v>56</v>
      </c>
      <c r="X3" s="59" t="s">
        <v>57</v>
      </c>
      <c r="Y3" s="59" t="s">
        <v>58</v>
      </c>
      <c r="Z3" s="61"/>
    </row>
    <row r="4" spans="2:26" ht="30" x14ac:dyDescent="0.25">
      <c r="B4" s="12" t="s">
        <v>62</v>
      </c>
      <c r="C4" s="62">
        <v>2584</v>
      </c>
      <c r="D4" s="62">
        <v>2644</v>
      </c>
      <c r="E4" s="62">
        <v>3424</v>
      </c>
      <c r="F4" s="62">
        <v>4519</v>
      </c>
      <c r="G4" s="62">
        <v>7182</v>
      </c>
      <c r="H4" s="62">
        <v>9553</v>
      </c>
      <c r="I4" s="62">
        <v>7746</v>
      </c>
      <c r="J4" s="62">
        <v>19196</v>
      </c>
      <c r="K4" s="62">
        <v>23343</v>
      </c>
      <c r="L4" s="62">
        <v>22390</v>
      </c>
      <c r="M4" s="62">
        <v>22964</v>
      </c>
      <c r="N4" s="62">
        <v>23581</v>
      </c>
      <c r="O4" s="62">
        <v>26280</v>
      </c>
      <c r="P4" s="62">
        <v>26330</v>
      </c>
      <c r="Q4" s="62">
        <v>26799</v>
      </c>
      <c r="R4" s="62">
        <v>26154</v>
      </c>
      <c r="S4" s="62">
        <v>28070</v>
      </c>
      <c r="T4" s="62">
        <v>21181</v>
      </c>
      <c r="U4" s="62">
        <v>24288</v>
      </c>
      <c r="V4" s="62">
        <v>26802</v>
      </c>
      <c r="W4" s="62">
        <v>25605</v>
      </c>
      <c r="X4" s="62">
        <v>24603</v>
      </c>
      <c r="Y4" s="63">
        <v>22267</v>
      </c>
      <c r="Z4" s="64">
        <f>SUM(Tabla11[[#This Row],[2002]:[2024]])</f>
        <v>427505</v>
      </c>
    </row>
    <row r="5" spans="2:26" ht="30" x14ac:dyDescent="0.25">
      <c r="B5" s="12" t="s">
        <v>64</v>
      </c>
      <c r="C5" s="65">
        <v>2505</v>
      </c>
      <c r="D5" s="66">
        <v>2295</v>
      </c>
      <c r="E5" s="66">
        <v>3064</v>
      </c>
      <c r="F5" s="66">
        <v>4269</v>
      </c>
      <c r="G5" s="66">
        <v>6684</v>
      </c>
      <c r="H5" s="66">
        <v>7620</v>
      </c>
      <c r="I5" s="66">
        <v>6296</v>
      </c>
      <c r="J5" s="66">
        <v>5909</v>
      </c>
      <c r="K5" s="66">
        <v>6935</v>
      </c>
      <c r="L5" s="66">
        <v>6369</v>
      </c>
      <c r="M5" s="66">
        <v>6564</v>
      </c>
      <c r="N5" s="66">
        <v>6902</v>
      </c>
      <c r="O5" s="66">
        <v>3366</v>
      </c>
      <c r="P5" s="66">
        <v>3979</v>
      </c>
      <c r="Q5" s="66">
        <v>4453</v>
      </c>
      <c r="R5" s="66">
        <v>4446</v>
      </c>
      <c r="S5" s="66">
        <v>5013</v>
      </c>
      <c r="T5" s="66">
        <v>3763</v>
      </c>
      <c r="U5" s="66">
        <v>2444</v>
      </c>
      <c r="V5" s="67">
        <v>2317</v>
      </c>
      <c r="W5" s="66">
        <v>1836</v>
      </c>
      <c r="X5" s="66">
        <v>1385</v>
      </c>
      <c r="Y5" s="66">
        <v>857</v>
      </c>
      <c r="Z5" s="64">
        <f>SUM(Tabla11[[#This Row],[2002]:[2024]])</f>
        <v>99271</v>
      </c>
    </row>
    <row r="6" spans="2:26" x14ac:dyDescent="0.25">
      <c r="B6" s="12" t="s">
        <v>66</v>
      </c>
      <c r="C6" s="65">
        <v>1407</v>
      </c>
      <c r="D6" s="66">
        <v>1589</v>
      </c>
      <c r="E6" s="66">
        <v>1071</v>
      </c>
      <c r="F6" s="66">
        <v>1067</v>
      </c>
      <c r="G6" s="66">
        <v>1826</v>
      </c>
      <c r="H6" s="66">
        <v>3564</v>
      </c>
      <c r="I6" s="66">
        <v>2738</v>
      </c>
      <c r="J6" s="66">
        <v>3056</v>
      </c>
      <c r="K6" s="66">
        <v>4201</v>
      </c>
      <c r="L6" s="66">
        <v>3791</v>
      </c>
      <c r="M6" s="66">
        <v>4882</v>
      </c>
      <c r="N6" s="66">
        <v>4867</v>
      </c>
      <c r="O6" s="66">
        <v>6443</v>
      </c>
      <c r="P6" s="66">
        <v>7026</v>
      </c>
      <c r="Q6" s="66">
        <v>6210</v>
      </c>
      <c r="R6" s="66">
        <v>5197</v>
      </c>
      <c r="S6" s="66">
        <v>5372</v>
      </c>
      <c r="T6" s="66">
        <v>3525</v>
      </c>
      <c r="U6" s="66">
        <v>3144</v>
      </c>
      <c r="V6" s="67">
        <v>3329</v>
      </c>
      <c r="W6" s="66">
        <v>3713</v>
      </c>
      <c r="X6" s="66">
        <v>5717</v>
      </c>
      <c r="Y6" s="68">
        <v>5417</v>
      </c>
      <c r="Z6" s="64">
        <f>SUM(Tabla11[[#This Row],[2002]:[2024]])</f>
        <v>89152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E88E-B1E9-4212-9718-136845CBFC97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0CD1-E939-4CA4-96BB-69A7BC5DEF50}">
  <dimension ref="C3:AA14"/>
  <sheetViews>
    <sheetView workbookViewId="0">
      <selection activeCell="C3" sqref="C3:AA14"/>
    </sheetView>
  </sheetViews>
  <sheetFormatPr baseColWidth="10" defaultRowHeight="15" x14ac:dyDescent="0.25"/>
  <sheetData>
    <row r="3" spans="3:27" x14ac:dyDescent="0.25">
      <c r="C3" s="69" t="s">
        <v>68</v>
      </c>
      <c r="D3" s="70" t="s">
        <v>35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2"/>
      <c r="AA3" s="73" t="s">
        <v>34</v>
      </c>
    </row>
    <row r="4" spans="3:27" x14ac:dyDescent="0.25">
      <c r="C4" s="69"/>
      <c r="D4" s="74" t="s">
        <v>36</v>
      </c>
      <c r="E4" s="74" t="s">
        <v>37</v>
      </c>
      <c r="F4" s="74" t="s">
        <v>38</v>
      </c>
      <c r="G4" s="74" t="s">
        <v>39</v>
      </c>
      <c r="H4" s="74" t="s">
        <v>40</v>
      </c>
      <c r="I4" s="74" t="s">
        <v>41</v>
      </c>
      <c r="J4" s="74" t="s">
        <v>42</v>
      </c>
      <c r="K4" s="74" t="s">
        <v>43</v>
      </c>
      <c r="L4" s="74" t="s">
        <v>44</v>
      </c>
      <c r="M4" s="74" t="s">
        <v>45</v>
      </c>
      <c r="N4" s="74" t="s">
        <v>46</v>
      </c>
      <c r="O4" s="74" t="s">
        <v>47</v>
      </c>
      <c r="P4" s="74" t="s">
        <v>48</v>
      </c>
      <c r="Q4" s="74" t="s">
        <v>49</v>
      </c>
      <c r="R4" s="74" t="s">
        <v>50</v>
      </c>
      <c r="S4" s="74" t="s">
        <v>51</v>
      </c>
      <c r="T4" s="74" t="s">
        <v>52</v>
      </c>
      <c r="U4" s="74" t="s">
        <v>53</v>
      </c>
      <c r="V4" s="74" t="s">
        <v>54</v>
      </c>
      <c r="W4" s="74" t="s">
        <v>55</v>
      </c>
      <c r="X4" s="75" t="s">
        <v>56</v>
      </c>
      <c r="Y4" s="75" t="s">
        <v>57</v>
      </c>
      <c r="Z4" s="75" t="s">
        <v>58</v>
      </c>
      <c r="AA4" s="73"/>
    </row>
    <row r="5" spans="3:27" x14ac:dyDescent="0.25">
      <c r="C5" s="76" t="s">
        <v>69</v>
      </c>
      <c r="D5" s="77">
        <v>2227</v>
      </c>
      <c r="E5" s="77">
        <v>1957</v>
      </c>
      <c r="F5" s="77">
        <v>2554</v>
      </c>
      <c r="G5" s="77">
        <v>3810</v>
      </c>
      <c r="H5" s="77">
        <v>6078</v>
      </c>
      <c r="I5" s="77">
        <v>6176</v>
      </c>
      <c r="J5" s="77">
        <v>5105</v>
      </c>
      <c r="K5" s="77">
        <v>4568</v>
      </c>
      <c r="L5" s="77">
        <v>5734</v>
      </c>
      <c r="M5" s="77">
        <v>5312</v>
      </c>
      <c r="N5" s="77">
        <v>5215</v>
      </c>
      <c r="O5" s="77">
        <v>5299</v>
      </c>
      <c r="P5" s="77">
        <v>2234</v>
      </c>
      <c r="Q5" s="77">
        <v>2772</v>
      </c>
      <c r="R5" s="77">
        <v>3278</v>
      </c>
      <c r="S5" s="77">
        <v>2415</v>
      </c>
      <c r="T5" s="77">
        <v>2225</v>
      </c>
      <c r="U5" s="77">
        <v>1737</v>
      </c>
      <c r="V5" s="77">
        <v>1598</v>
      </c>
      <c r="W5" s="77">
        <v>1801</v>
      </c>
      <c r="X5" s="78">
        <v>1280</v>
      </c>
      <c r="Y5" s="78">
        <v>1066</v>
      </c>
      <c r="Z5" s="78">
        <v>570</v>
      </c>
      <c r="AA5" s="79">
        <f>SUM(Tabla1257[[#This Row],[2002]:[2024]])</f>
        <v>75011</v>
      </c>
    </row>
    <row r="6" spans="3:27" x14ac:dyDescent="0.25">
      <c r="C6" s="76" t="s">
        <v>70</v>
      </c>
      <c r="D6" s="77">
        <v>7</v>
      </c>
      <c r="E6" s="77">
        <v>40</v>
      </c>
      <c r="F6" s="77">
        <v>349</v>
      </c>
      <c r="G6" s="77">
        <v>461</v>
      </c>
      <c r="H6" s="77">
        <v>563</v>
      </c>
      <c r="I6" s="77">
        <v>1631</v>
      </c>
      <c r="J6" s="77">
        <v>1116</v>
      </c>
      <c r="K6" s="77">
        <v>1385</v>
      </c>
      <c r="L6" s="77">
        <v>1911</v>
      </c>
      <c r="M6" s="77">
        <v>1652</v>
      </c>
      <c r="N6" s="77">
        <v>1819</v>
      </c>
      <c r="O6" s="77">
        <v>1361</v>
      </c>
      <c r="P6" s="77">
        <v>2134</v>
      </c>
      <c r="Q6" s="77">
        <v>2715</v>
      </c>
      <c r="R6" s="77">
        <v>2560</v>
      </c>
      <c r="S6" s="77">
        <v>2792</v>
      </c>
      <c r="T6" s="77">
        <v>2462</v>
      </c>
      <c r="U6" s="77">
        <v>1587</v>
      </c>
      <c r="V6" s="77">
        <v>1484</v>
      </c>
      <c r="W6" s="77">
        <v>1564</v>
      </c>
      <c r="X6" s="77">
        <v>1730</v>
      </c>
      <c r="Y6" s="77">
        <v>2508</v>
      </c>
      <c r="Z6" s="77">
        <v>2203</v>
      </c>
      <c r="AA6" s="79">
        <f>SUM(Tabla1257[[#This Row],[2002]:[2024]])</f>
        <v>36034</v>
      </c>
    </row>
    <row r="7" spans="3:27" x14ac:dyDescent="0.25">
      <c r="C7" s="76" t="s">
        <v>71</v>
      </c>
      <c r="D7" s="77">
        <v>102</v>
      </c>
      <c r="E7" s="77">
        <v>192</v>
      </c>
      <c r="F7" s="77">
        <v>332</v>
      </c>
      <c r="G7" s="77">
        <v>285</v>
      </c>
      <c r="H7" s="77">
        <v>360</v>
      </c>
      <c r="I7" s="77">
        <v>1174</v>
      </c>
      <c r="J7" s="77">
        <v>1109</v>
      </c>
      <c r="K7" s="77">
        <v>996</v>
      </c>
      <c r="L7" s="77">
        <v>1337</v>
      </c>
      <c r="M7" s="77">
        <v>1239</v>
      </c>
      <c r="N7" s="77">
        <v>1910</v>
      </c>
      <c r="O7" s="77">
        <v>2033</v>
      </c>
      <c r="P7" s="77">
        <v>2226</v>
      </c>
      <c r="Q7" s="77">
        <v>2782</v>
      </c>
      <c r="R7" s="77">
        <v>2810</v>
      </c>
      <c r="S7" s="77">
        <v>2058</v>
      </c>
      <c r="T7" s="77">
        <v>2557</v>
      </c>
      <c r="U7" s="77">
        <v>1628</v>
      </c>
      <c r="V7" s="77">
        <v>1333</v>
      </c>
      <c r="W7" s="77">
        <v>1469</v>
      </c>
      <c r="X7" s="77">
        <v>1696</v>
      </c>
      <c r="Y7" s="77">
        <v>2594</v>
      </c>
      <c r="Z7" s="77">
        <v>2762</v>
      </c>
      <c r="AA7" s="79">
        <f>SUM(Tabla1257[[#This Row],[2002]:[2024]])</f>
        <v>34984</v>
      </c>
    </row>
    <row r="8" spans="3:27" x14ac:dyDescent="0.25">
      <c r="C8" s="76" t="s">
        <v>72</v>
      </c>
      <c r="D8" s="77">
        <v>278</v>
      </c>
      <c r="E8" s="77">
        <v>338</v>
      </c>
      <c r="F8" s="77">
        <v>510</v>
      </c>
      <c r="G8" s="77">
        <v>459</v>
      </c>
      <c r="H8" s="77">
        <v>606</v>
      </c>
      <c r="I8" s="77">
        <v>1444</v>
      </c>
      <c r="J8" s="77">
        <v>1191</v>
      </c>
      <c r="K8" s="77">
        <v>1341</v>
      </c>
      <c r="L8" s="77">
        <v>1201</v>
      </c>
      <c r="M8" s="77">
        <v>1057</v>
      </c>
      <c r="N8" s="77">
        <v>1349</v>
      </c>
      <c r="O8" s="77">
        <v>1603</v>
      </c>
      <c r="P8" s="77">
        <v>1132</v>
      </c>
      <c r="Q8" s="77">
        <v>1207</v>
      </c>
      <c r="R8" s="77">
        <v>1175</v>
      </c>
      <c r="S8" s="77">
        <v>2031</v>
      </c>
      <c r="T8" s="77">
        <v>2788</v>
      </c>
      <c r="U8" s="77">
        <v>2026</v>
      </c>
      <c r="V8" s="77">
        <v>846</v>
      </c>
      <c r="W8" s="77">
        <v>516</v>
      </c>
      <c r="X8" s="77">
        <v>556</v>
      </c>
      <c r="Y8" s="77">
        <v>319</v>
      </c>
      <c r="Z8" s="77">
        <v>287</v>
      </c>
      <c r="AA8" s="79">
        <f>SUM(Tabla1257[[#This Row],[2002]:[2024]])</f>
        <v>24260</v>
      </c>
    </row>
    <row r="9" spans="3:27" x14ac:dyDescent="0.25">
      <c r="C9" s="76" t="s">
        <v>73</v>
      </c>
      <c r="D9" s="77">
        <v>336</v>
      </c>
      <c r="E9" s="77">
        <v>540</v>
      </c>
      <c r="F9" s="77">
        <v>221</v>
      </c>
      <c r="G9" s="77">
        <v>144</v>
      </c>
      <c r="H9" s="77">
        <v>357</v>
      </c>
      <c r="I9" s="77">
        <v>384</v>
      </c>
      <c r="J9" s="77">
        <v>211</v>
      </c>
      <c r="K9" s="77">
        <v>382</v>
      </c>
      <c r="L9" s="77">
        <v>439</v>
      </c>
      <c r="M9" s="77">
        <v>409</v>
      </c>
      <c r="N9" s="77">
        <v>591</v>
      </c>
      <c r="O9" s="77">
        <v>783</v>
      </c>
      <c r="P9" s="77">
        <v>1208</v>
      </c>
      <c r="Q9" s="77">
        <v>377</v>
      </c>
      <c r="R9" s="77">
        <v>643</v>
      </c>
      <c r="S9" s="77">
        <v>204</v>
      </c>
      <c r="T9" s="77">
        <v>147</v>
      </c>
      <c r="U9" s="77">
        <v>194</v>
      </c>
      <c r="V9" s="77">
        <v>204</v>
      </c>
      <c r="W9" s="77">
        <v>181</v>
      </c>
      <c r="X9" s="77">
        <v>111</v>
      </c>
      <c r="Y9" s="77">
        <v>408</v>
      </c>
      <c r="Z9" s="77">
        <v>174</v>
      </c>
      <c r="AA9" s="79">
        <f>SUM(Tabla1257[[#This Row],[2002]:[2024]])</f>
        <v>8648</v>
      </c>
    </row>
    <row r="10" spans="3:27" x14ac:dyDescent="0.25">
      <c r="C10" s="76" t="s">
        <v>74</v>
      </c>
      <c r="D10" s="77">
        <v>14</v>
      </c>
      <c r="E10" s="77">
        <v>34</v>
      </c>
      <c r="F10" s="77">
        <v>70</v>
      </c>
      <c r="G10" s="77">
        <v>62</v>
      </c>
      <c r="H10" s="77">
        <v>85</v>
      </c>
      <c r="I10" s="77">
        <v>286</v>
      </c>
      <c r="J10" s="77">
        <v>226</v>
      </c>
      <c r="K10" s="77">
        <v>226</v>
      </c>
      <c r="L10" s="77">
        <v>414</v>
      </c>
      <c r="M10" s="77">
        <v>381</v>
      </c>
      <c r="N10" s="77">
        <v>476</v>
      </c>
      <c r="O10" s="77">
        <v>633</v>
      </c>
      <c r="P10" s="77">
        <v>799</v>
      </c>
      <c r="Q10" s="77">
        <v>1077</v>
      </c>
      <c r="R10" s="77">
        <v>1</v>
      </c>
      <c r="S10" s="80" t="s">
        <v>59</v>
      </c>
      <c r="T10" s="80" t="s">
        <v>59</v>
      </c>
      <c r="U10" s="80" t="s">
        <v>59</v>
      </c>
      <c r="V10" s="80" t="s">
        <v>59</v>
      </c>
      <c r="W10" s="80" t="s">
        <v>59</v>
      </c>
      <c r="X10" s="80" t="s">
        <v>59</v>
      </c>
      <c r="Y10" s="80" t="s">
        <v>59</v>
      </c>
      <c r="Z10" s="80" t="s">
        <v>59</v>
      </c>
      <c r="AA10" s="79">
        <f>SUM(Tabla1257[[#This Row],[2002]:[2024]])</f>
        <v>4784</v>
      </c>
    </row>
    <row r="11" spans="3:27" x14ac:dyDescent="0.25">
      <c r="C11" s="76" t="s">
        <v>75</v>
      </c>
      <c r="D11" s="77">
        <v>20</v>
      </c>
      <c r="E11" s="77">
        <v>19</v>
      </c>
      <c r="F11" s="77">
        <v>19</v>
      </c>
      <c r="G11" s="77">
        <v>15</v>
      </c>
      <c r="H11" s="77">
        <v>27</v>
      </c>
      <c r="I11" s="77">
        <v>77</v>
      </c>
      <c r="J11" s="77">
        <v>76</v>
      </c>
      <c r="K11" s="77">
        <v>67</v>
      </c>
      <c r="L11" s="77">
        <v>100</v>
      </c>
      <c r="M11" s="77">
        <v>110</v>
      </c>
      <c r="N11" s="77">
        <v>86</v>
      </c>
      <c r="O11" s="77">
        <v>57</v>
      </c>
      <c r="P11" s="77">
        <v>76</v>
      </c>
      <c r="Q11" s="77">
        <v>75</v>
      </c>
      <c r="R11" s="77">
        <v>196</v>
      </c>
      <c r="S11" s="77">
        <v>143</v>
      </c>
      <c r="T11" s="77">
        <v>206</v>
      </c>
      <c r="U11" s="77">
        <v>116</v>
      </c>
      <c r="V11" s="77">
        <v>123</v>
      </c>
      <c r="W11" s="77">
        <v>115</v>
      </c>
      <c r="X11" s="77">
        <v>176</v>
      </c>
      <c r="Y11" s="77">
        <v>207</v>
      </c>
      <c r="Z11" s="77">
        <v>278</v>
      </c>
      <c r="AA11" s="79">
        <f>SUM(Tabla1257[[#This Row],[2002]:[2024]])</f>
        <v>2384</v>
      </c>
    </row>
    <row r="12" spans="3:27" x14ac:dyDescent="0.25">
      <c r="C12" s="76" t="s">
        <v>76</v>
      </c>
      <c r="D12" s="80" t="s">
        <v>59</v>
      </c>
      <c r="E12" s="77">
        <v>1</v>
      </c>
      <c r="F12" s="77">
        <v>4</v>
      </c>
      <c r="G12" s="77">
        <v>3</v>
      </c>
      <c r="H12" s="77">
        <v>4</v>
      </c>
      <c r="I12" s="77">
        <v>2</v>
      </c>
      <c r="J12" s="77">
        <v>35</v>
      </c>
      <c r="K12" s="77">
        <v>112</v>
      </c>
      <c r="L12" s="77">
        <v>160</v>
      </c>
      <c r="M12" s="77">
        <v>164</v>
      </c>
      <c r="N12" s="77">
        <v>221</v>
      </c>
      <c r="O12" s="77">
        <v>103</v>
      </c>
      <c r="P12" s="77">
        <v>94</v>
      </c>
      <c r="Q12" s="77">
        <v>62</v>
      </c>
      <c r="R12" s="77">
        <v>48</v>
      </c>
      <c r="S12" s="77">
        <v>91</v>
      </c>
      <c r="T12" s="77">
        <v>43</v>
      </c>
      <c r="U12" s="77">
        <v>9</v>
      </c>
      <c r="V12" s="77">
        <v>17</v>
      </c>
      <c r="W12" s="77">
        <v>2</v>
      </c>
      <c r="X12" s="77">
        <v>4</v>
      </c>
      <c r="Y12" s="80" t="s">
        <v>59</v>
      </c>
      <c r="Z12" s="80" t="s">
        <v>59</v>
      </c>
      <c r="AA12" s="79">
        <f>SUM(Tabla1257[[#This Row],[2002]:[2024]])</f>
        <v>1179</v>
      </c>
    </row>
    <row r="13" spans="3:27" x14ac:dyDescent="0.25">
      <c r="C13" s="76" t="s">
        <v>77</v>
      </c>
      <c r="D13" s="81">
        <v>464</v>
      </c>
      <c r="E13" s="77">
        <v>382</v>
      </c>
      <c r="F13" s="77">
        <v>40</v>
      </c>
      <c r="G13" s="77">
        <v>50</v>
      </c>
      <c r="H13" s="77">
        <v>217</v>
      </c>
      <c r="I13" s="77">
        <v>6</v>
      </c>
      <c r="J13" s="80" t="s">
        <v>59</v>
      </c>
      <c r="K13" s="80" t="s">
        <v>59</v>
      </c>
      <c r="L13" s="80" t="s">
        <v>59</v>
      </c>
      <c r="M13" s="80" t="s">
        <v>59</v>
      </c>
      <c r="N13" s="80" t="s">
        <v>59</v>
      </c>
      <c r="O13" s="80" t="s">
        <v>59</v>
      </c>
      <c r="P13" s="80" t="s">
        <v>59</v>
      </c>
      <c r="Q13" s="80" t="s">
        <v>59</v>
      </c>
      <c r="R13" s="80" t="s">
        <v>59</v>
      </c>
      <c r="S13" s="80" t="s">
        <v>59</v>
      </c>
      <c r="T13" s="80" t="s">
        <v>59</v>
      </c>
      <c r="U13" s="80" t="s">
        <v>59</v>
      </c>
      <c r="V13" s="80" t="s">
        <v>59</v>
      </c>
      <c r="W13" s="82" t="s">
        <v>59</v>
      </c>
      <c r="X13" s="80" t="s">
        <v>59</v>
      </c>
      <c r="Y13" s="80" t="s">
        <v>59</v>
      </c>
      <c r="Z13" s="83" t="s">
        <v>59</v>
      </c>
      <c r="AA13" s="79">
        <f>SUM(Tabla1257[[#This Row],[2002]:[2024]])</f>
        <v>1159</v>
      </c>
    </row>
    <row r="14" spans="3:27" x14ac:dyDescent="0.25">
      <c r="C14" s="76" t="s">
        <v>34</v>
      </c>
      <c r="D14" s="79">
        <f>SUBTOTAL(109,Tabla1257[2002])</f>
        <v>3448</v>
      </c>
      <c r="E14" s="79">
        <f>SUBTOTAL(109,Tabla1257[2003])</f>
        <v>3503</v>
      </c>
      <c r="F14" s="79">
        <f>SUBTOTAL(109,Tabla1257[2004])</f>
        <v>4099</v>
      </c>
      <c r="G14" s="79">
        <f>SUBTOTAL(109,Tabla1257[2005])</f>
        <v>5289</v>
      </c>
      <c r="H14" s="79">
        <f>SUBTOTAL(109,Tabla1257[2006])</f>
        <v>8297</v>
      </c>
      <c r="I14" s="79">
        <f>SUBTOTAL(109,Tabla1257[2007])</f>
        <v>11180</v>
      </c>
      <c r="J14" s="79">
        <f>SUBTOTAL(109,Tabla1257[2008])</f>
        <v>9069</v>
      </c>
      <c r="K14" s="79">
        <f>SUBTOTAL(109,Tabla1257[2009])</f>
        <v>9077</v>
      </c>
      <c r="L14" s="79">
        <f>SUBTOTAL(109,Tabla1257[2010])</f>
        <v>11296</v>
      </c>
      <c r="M14" s="79">
        <f>SUBTOTAL(109,Tabla1257[2011])</f>
        <v>10324</v>
      </c>
      <c r="N14" s="79">
        <f>SUBTOTAL(109,Tabla1257[2012])</f>
        <v>11667</v>
      </c>
      <c r="O14" s="79">
        <f>SUBTOTAL(109,Tabla1257[2013])</f>
        <v>11872</v>
      </c>
      <c r="P14" s="79">
        <f>SUBTOTAL(109,Tabla1257[2014])</f>
        <v>9903</v>
      </c>
      <c r="Q14" s="79">
        <f>SUBTOTAL(109,Tabla1257[2015])</f>
        <v>11067</v>
      </c>
      <c r="R14" s="79">
        <f>SUBTOTAL(109,Tabla1257[2016])</f>
        <v>10711</v>
      </c>
      <c r="S14" s="79">
        <f>SUBTOTAL(109,Tabla1257[2017])</f>
        <v>9734</v>
      </c>
      <c r="T14" s="79">
        <f>SUBTOTAL(109,Tabla1257[2018])</f>
        <v>10428</v>
      </c>
      <c r="U14" s="79">
        <f>SUBTOTAL(109,Tabla1257[2019])</f>
        <v>7297</v>
      </c>
      <c r="V14" s="79">
        <f>SUBTOTAL(109,Tabla1257[2020])</f>
        <v>5605</v>
      </c>
      <c r="W14" s="79">
        <f>SUBTOTAL(109,Tabla1257[2021])</f>
        <v>5648</v>
      </c>
      <c r="X14" s="79">
        <f>SUBTOTAL(109,Tabla1257[2022])</f>
        <v>5553</v>
      </c>
      <c r="Y14" s="79">
        <f>SUBTOTAL(109,Tabla1257[2023])</f>
        <v>7102</v>
      </c>
      <c r="Z14" s="79">
        <f>SUBTOTAL(109,Tabla1257[2024])</f>
        <v>6274</v>
      </c>
      <c r="AA14" s="79">
        <f>SUM(AA5:AA13)</f>
        <v>188443</v>
      </c>
    </row>
  </sheetData>
  <mergeCells count="3">
    <mergeCell ref="C3:C4"/>
    <mergeCell ref="D3:Z3"/>
    <mergeCell ref="AA3:AA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5F18-62B9-44A1-81F1-18BF5D289256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Hoja34</vt:lpstr>
      <vt:lpstr>Hoja35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Adrian Acuña Anaya</dc:creator>
  <cp:lastModifiedBy>Arturo Adrian Acuña Anaya</cp:lastModifiedBy>
  <dcterms:created xsi:type="dcterms:W3CDTF">2026-05-29T03:18:34Z</dcterms:created>
  <dcterms:modified xsi:type="dcterms:W3CDTF">2026-05-29T03:37:08Z</dcterms:modified>
</cp:coreProperties>
</file>